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431" windowWidth="15450" windowHeight="12390" tabRatio="526" activeTab="0"/>
  </bookViews>
  <sheets>
    <sheet name="Summary" sheetId="1" r:id="rId1"/>
    <sheet name="1998" sheetId="2" r:id="rId2"/>
    <sheet name="1999" sheetId="3" r:id="rId3"/>
    <sheet name="2000" sheetId="4" r:id="rId4"/>
    <sheet name="2001" sheetId="5" r:id="rId5"/>
    <sheet name="2002" sheetId="6" r:id="rId6"/>
    <sheet name="2003" sheetId="7" r:id="rId7"/>
    <sheet name="2004" sheetId="8" r:id="rId8"/>
    <sheet name="2005" sheetId="9" r:id="rId9"/>
  </sheets>
  <definedNames>
    <definedName name="_xlnm.Print_Area" localSheetId="0">'Summary'!$C$8:$BB$187</definedName>
    <definedName name="_xlnm.Print_Titles" localSheetId="0">'Summary'!$B:$B,'Summary'!$4:$7</definedName>
  </definedNames>
  <calcPr fullCalcOnLoad="1"/>
</workbook>
</file>

<file path=xl/sharedStrings.xml><?xml version="1.0" encoding="utf-8"?>
<sst xmlns="http://schemas.openxmlformats.org/spreadsheetml/2006/main" count="2815" uniqueCount="240">
  <si>
    <t>Stratford</t>
  </si>
  <si>
    <t>Suffield</t>
  </si>
  <si>
    <t>Thomaston</t>
  </si>
  <si>
    <t>Thompson</t>
  </si>
  <si>
    <t>Tolland</t>
  </si>
  <si>
    <t>Torrington</t>
  </si>
  <si>
    <t>Trumbull</t>
  </si>
  <si>
    <t>Union</t>
  </si>
  <si>
    <t>Vernon</t>
  </si>
  <si>
    <t>Voluntown</t>
  </si>
  <si>
    <t>Wallingford</t>
  </si>
  <si>
    <t>Warren</t>
  </si>
  <si>
    <t>Washington</t>
  </si>
  <si>
    <t>Waterbury</t>
  </si>
  <si>
    <t>Waterford</t>
  </si>
  <si>
    <t>Watertown</t>
  </si>
  <si>
    <t>West Hartford</t>
  </si>
  <si>
    <t>West Haven</t>
  </si>
  <si>
    <t>Westbrook</t>
  </si>
  <si>
    <t>Weston</t>
  </si>
  <si>
    <t>Westport</t>
  </si>
  <si>
    <t>Wethersfield</t>
  </si>
  <si>
    <t>Willington</t>
  </si>
  <si>
    <t>Wilton</t>
  </si>
  <si>
    <t>Winchester</t>
  </si>
  <si>
    <t>Windham</t>
  </si>
  <si>
    <t>Windsor</t>
  </si>
  <si>
    <t>Windsor Locks</t>
  </si>
  <si>
    <t>Wolcott</t>
  </si>
  <si>
    <t>Woodbridge</t>
  </si>
  <si>
    <t>Woodbury</t>
  </si>
  <si>
    <t>Woodstock</t>
  </si>
  <si>
    <t>Unclassified</t>
  </si>
  <si>
    <t>STATEWIDE</t>
  </si>
  <si>
    <t>ASSISTANCE UNITS AND RECIPIENTS</t>
  </si>
  <si>
    <t xml:space="preserve">     AVERAGE MONTHLY BY TOWN</t>
  </si>
  <si>
    <t xml:space="preserve"> </t>
  </si>
  <si>
    <t>Households Receiving Food Stamps</t>
  </si>
  <si>
    <t>TANF Cases</t>
  </si>
  <si>
    <t>TANF Recipients</t>
  </si>
  <si>
    <t>Medicaid Recipients</t>
  </si>
  <si>
    <t>SAGA Recipients- Medical</t>
  </si>
  <si>
    <t>Rural Towns</t>
  </si>
  <si>
    <t>Eastern Zone</t>
  </si>
  <si>
    <t>Northwestern Zone</t>
  </si>
  <si>
    <t>CT River Zone</t>
  </si>
  <si>
    <t>State</t>
  </si>
  <si>
    <t>E</t>
  </si>
  <si>
    <t>Andover</t>
  </si>
  <si>
    <t>Ansonia</t>
  </si>
  <si>
    <t>Ashford</t>
  </si>
  <si>
    <t>Avon</t>
  </si>
  <si>
    <t>NW</t>
  </si>
  <si>
    <t>Barkhamsted</t>
  </si>
  <si>
    <t>Beacon Falls</t>
  </si>
  <si>
    <t>Berlin</t>
  </si>
  <si>
    <t>Bethany</t>
  </si>
  <si>
    <t>Bethel</t>
  </si>
  <si>
    <t>Bethlehem</t>
  </si>
  <si>
    <t>Bloomfield</t>
  </si>
  <si>
    <t>Bolton</t>
  </si>
  <si>
    <t>Bozrah</t>
  </si>
  <si>
    <t>Branford</t>
  </si>
  <si>
    <t>C</t>
  </si>
  <si>
    <t>Bridgeport</t>
  </si>
  <si>
    <t>Bridgewater</t>
  </si>
  <si>
    <t>Bristol</t>
  </si>
  <si>
    <t>Brookfield</t>
  </si>
  <si>
    <t>Brooklyn</t>
  </si>
  <si>
    <t>Burlington</t>
  </si>
  <si>
    <t>Canaan*</t>
  </si>
  <si>
    <t>Canterbury</t>
  </si>
  <si>
    <t>Canton</t>
  </si>
  <si>
    <t>Chaplin</t>
  </si>
  <si>
    <t>Cheshire</t>
  </si>
  <si>
    <t>CT River</t>
  </si>
  <si>
    <t>Chester</t>
  </si>
  <si>
    <t>Clinton</t>
  </si>
  <si>
    <t>Colchester</t>
  </si>
  <si>
    <t>Colebrook</t>
  </si>
  <si>
    <t>Columbia</t>
  </si>
  <si>
    <t>Cornwall</t>
  </si>
  <si>
    <t>Coventry</t>
  </si>
  <si>
    <t>Cromwell</t>
  </si>
  <si>
    <t>Danbury</t>
  </si>
  <si>
    <t>Darien</t>
  </si>
  <si>
    <t>Deep River</t>
  </si>
  <si>
    <t>Derby</t>
  </si>
  <si>
    <t>Durham</t>
  </si>
  <si>
    <t>East Granby</t>
  </si>
  <si>
    <t>East Haddam</t>
  </si>
  <si>
    <t>East Hampton</t>
  </si>
  <si>
    <t>East Hartford</t>
  </si>
  <si>
    <t>East Haven</t>
  </si>
  <si>
    <t>East Lyme</t>
  </si>
  <si>
    <t>East Windsor</t>
  </si>
  <si>
    <t>Eastford</t>
  </si>
  <si>
    <t>Assistance Units and Recipients, Average Monthly by Town, 1999</t>
  </si>
  <si>
    <t>Assistance Units and Recipients, Average Monthly by Town, 1998</t>
  </si>
  <si>
    <t>Assistance Units and Recipients, Average Monthly by Town, 2000</t>
  </si>
  <si>
    <t>Assistance Units and Recipients, Average Monthly by Town, 2001</t>
  </si>
  <si>
    <t>Assistance Units and Recipients, Average Monthly by Town, 2002</t>
  </si>
  <si>
    <t>Assistance Units and Recipients, Average Monthly by Town, 2003</t>
  </si>
  <si>
    <t>Assistance Units and Recipients, Average Monthly by Town, 2004</t>
  </si>
  <si>
    <t>Assistance Units and Recipients, Average Monthly by Town, 2005</t>
  </si>
  <si>
    <t>Easton</t>
  </si>
  <si>
    <t>Ellington</t>
  </si>
  <si>
    <t>Enfield</t>
  </si>
  <si>
    <t>Essex</t>
  </si>
  <si>
    <t>Fairfield</t>
  </si>
  <si>
    <t>Farmington</t>
  </si>
  <si>
    <t>Franklin</t>
  </si>
  <si>
    <t>Glastonbury</t>
  </si>
  <si>
    <t>Goshen</t>
  </si>
  <si>
    <t>Granby</t>
  </si>
  <si>
    <t>Greenwich</t>
  </si>
  <si>
    <t>Griswold</t>
  </si>
  <si>
    <t>Groton</t>
  </si>
  <si>
    <t>Guilford</t>
  </si>
  <si>
    <t>Haddam</t>
  </si>
  <si>
    <t>Hamden</t>
  </si>
  <si>
    <t>Hampton</t>
  </si>
  <si>
    <t>Hartford</t>
  </si>
  <si>
    <t>Hartland</t>
  </si>
  <si>
    <t>Harwinton</t>
  </si>
  <si>
    <t>Hebron</t>
  </si>
  <si>
    <t>Kent</t>
  </si>
  <si>
    <t>Killingly</t>
  </si>
  <si>
    <t>Killingworth</t>
  </si>
  <si>
    <t>Lebanon</t>
  </si>
  <si>
    <t>Ledyard</t>
  </si>
  <si>
    <t>Lisbon</t>
  </si>
  <si>
    <t>Litchfield</t>
  </si>
  <si>
    <t>Lyme</t>
  </si>
  <si>
    <t>Madison</t>
  </si>
  <si>
    <t>Manchester</t>
  </si>
  <si>
    <t>Mansfield</t>
  </si>
  <si>
    <t>Marlborough</t>
  </si>
  <si>
    <t>Meriden</t>
  </si>
  <si>
    <t>Middlebury</t>
  </si>
  <si>
    <t>Middlefield</t>
  </si>
  <si>
    <t>Middletown</t>
  </si>
  <si>
    <t>Milford</t>
  </si>
  <si>
    <t>Monroe</t>
  </si>
  <si>
    <t>Montville</t>
  </si>
  <si>
    <t>Morris</t>
  </si>
  <si>
    <t>Naugatuck</t>
  </si>
  <si>
    <t>New Britain</t>
  </si>
  <si>
    <t>New Canaan</t>
  </si>
  <si>
    <t>New Fairfield</t>
  </si>
  <si>
    <t>New Hartford</t>
  </si>
  <si>
    <t>New Haven</t>
  </si>
  <si>
    <t>New London</t>
  </si>
  <si>
    <t>New Milford</t>
  </si>
  <si>
    <t>Newington</t>
  </si>
  <si>
    <t>Newtown</t>
  </si>
  <si>
    <t>Norfolk</t>
  </si>
  <si>
    <t>North Branford</t>
  </si>
  <si>
    <t>North Canaan*</t>
  </si>
  <si>
    <t>North Haven</t>
  </si>
  <si>
    <t>North Stonington</t>
  </si>
  <si>
    <t>Norwalk</t>
  </si>
  <si>
    <t>Norwich</t>
  </si>
  <si>
    <t>Old Lyme</t>
  </si>
  <si>
    <t>2000-2005</t>
  </si>
  <si>
    <t>Change</t>
  </si>
  <si>
    <t>% Change</t>
  </si>
  <si>
    <t>1998-2001</t>
  </si>
  <si>
    <t xml:space="preserve">% of cases </t>
  </si>
  <si>
    <t>2005/%2000</t>
  </si>
  <si>
    <t>2000-2001</t>
  </si>
  <si>
    <t>1999-2004</t>
  </si>
  <si>
    <t>Cases</t>
  </si>
  <si>
    <t>Recipients</t>
  </si>
  <si>
    <t>Aged</t>
  </si>
  <si>
    <t>Blind</t>
  </si>
  <si>
    <t>Disabled</t>
  </si>
  <si>
    <t>Total</t>
  </si>
  <si>
    <t>Regular</t>
  </si>
  <si>
    <t>Up</t>
  </si>
  <si>
    <t>Food Stamps</t>
  </si>
  <si>
    <t>State Supplement</t>
  </si>
  <si>
    <t>Medicaid Only</t>
  </si>
  <si>
    <t>(Excluding GMB/SLMB)</t>
  </si>
  <si>
    <t>Total Medicaid</t>
  </si>
  <si>
    <t>TFA</t>
  </si>
  <si>
    <t>Temporary Family Assistance</t>
  </si>
  <si>
    <t>Cash</t>
  </si>
  <si>
    <t>Medical</t>
  </si>
  <si>
    <t>Unduplicated</t>
  </si>
  <si>
    <t>State Administered General Assistance</t>
  </si>
  <si>
    <t xml:space="preserve">         STATE FISCAL YEAR 2000</t>
  </si>
  <si>
    <t>GMB</t>
  </si>
  <si>
    <t>State-administered General Assistance</t>
  </si>
  <si>
    <t>SLMB</t>
  </si>
  <si>
    <t>-</t>
  </si>
  <si>
    <t>Rural</t>
  </si>
  <si>
    <t>Rural Zone</t>
  </si>
  <si>
    <t>Town Number</t>
  </si>
  <si>
    <t>Area</t>
  </si>
  <si>
    <t>Non-Rural Towns</t>
  </si>
  <si>
    <t>Cities over 50,000</t>
  </si>
  <si>
    <t xml:space="preserve">Other Non-Rural </t>
  </si>
  <si>
    <t>Town</t>
  </si>
  <si>
    <t>Old Saybrook</t>
  </si>
  <si>
    <t>Orange</t>
  </si>
  <si>
    <t>Oxford</t>
  </si>
  <si>
    <t>Plainfield</t>
  </si>
  <si>
    <t>Plainville</t>
  </si>
  <si>
    <t>Plymouth</t>
  </si>
  <si>
    <t>Pomfret</t>
  </si>
  <si>
    <t>Portland</t>
  </si>
  <si>
    <t>Preston</t>
  </si>
  <si>
    <t>Prospect</t>
  </si>
  <si>
    <t>Putnam</t>
  </si>
  <si>
    <t>Redding</t>
  </si>
  <si>
    <t>Ridgefield</t>
  </si>
  <si>
    <t>Rocky Hill</t>
  </si>
  <si>
    <t>Roxbury</t>
  </si>
  <si>
    <t>Salem</t>
  </si>
  <si>
    <t>Salisbury</t>
  </si>
  <si>
    <t>Scotland</t>
  </si>
  <si>
    <t>Seymour</t>
  </si>
  <si>
    <t>Sharon</t>
  </si>
  <si>
    <t>Shelton</t>
  </si>
  <si>
    <t>Sherman</t>
  </si>
  <si>
    <t>Simsbury</t>
  </si>
  <si>
    <t>Somers</t>
  </si>
  <si>
    <t>South Windsor</t>
  </si>
  <si>
    <t>Southbury</t>
  </si>
  <si>
    <t>Southington</t>
  </si>
  <si>
    <t>Sprague</t>
  </si>
  <si>
    <t>Stafford</t>
  </si>
  <si>
    <t>Stamford</t>
  </si>
  <si>
    <t>Sterling</t>
  </si>
  <si>
    <t>Stonington</t>
  </si>
  <si>
    <t>Source: Connecticut Department of Social Services</t>
  </si>
  <si>
    <t>Source: Connecticut Department of Social Services, Administrative Records (available by request)</t>
  </si>
  <si>
    <t>DSS Program Enrollment - 1998-2005</t>
  </si>
  <si>
    <t>Source: Connecticut Department of Social Services, Administrative Reports, by Rquest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</si>
</sst>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0000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Times"/>
      <family val="0"/>
    </font>
    <font>
      <b/>
      <sz val="12"/>
      <name val="Times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36"/>
      <name val="Times"/>
      <family val="0"/>
    </font>
    <font>
      <b/>
      <sz val="24"/>
      <name val="Times"/>
      <family val="1"/>
    </font>
    <font>
      <sz val="24"/>
      <name val="Times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Continuous"/>
    </xf>
    <xf numFmtId="0" fontId="4" fillId="2" borderId="4" xfId="0" applyFont="1" applyFill="1" applyBorder="1" applyAlignment="1">
      <alignment horizontal="centerContinuous"/>
    </xf>
    <xf numFmtId="0" fontId="4" fillId="2" borderId="5" xfId="0" applyFont="1" applyFill="1" applyBorder="1" applyAlignment="1">
      <alignment horizontal="centerContinuous"/>
    </xf>
    <xf numFmtId="0" fontId="4" fillId="2" borderId="6" xfId="0" applyFont="1" applyFill="1" applyBorder="1" applyAlignment="1">
      <alignment horizontal="centerContinuous"/>
    </xf>
    <xf numFmtId="0" fontId="4" fillId="2" borderId="7" xfId="0" applyFont="1" applyFill="1" applyBorder="1" applyAlignment="1">
      <alignment horizontal="centerContinuous"/>
    </xf>
    <xf numFmtId="0" fontId="4" fillId="2" borderId="7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5" fontId="4" fillId="0" borderId="8" xfId="21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38" fontId="4" fillId="0" borderId="8" xfId="0" applyNumberFormat="1" applyFont="1" applyFill="1" applyBorder="1" applyAlignment="1">
      <alignment/>
    </xf>
    <xf numFmtId="164" fontId="4" fillId="0" borderId="9" xfId="0" applyNumberFormat="1" applyFont="1" applyFill="1" applyBorder="1" applyAlignment="1">
      <alignment/>
    </xf>
    <xf numFmtId="0" fontId="4" fillId="0" borderId="10" xfId="0" applyFont="1" applyFill="1" applyBorder="1" applyAlignment="1" applyProtection="1">
      <alignment horizontal="left"/>
      <protection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9" xfId="0" applyFont="1" applyFill="1" applyBorder="1" applyAlignment="1">
      <alignment/>
    </xf>
    <xf numFmtId="165" fontId="4" fillId="0" borderId="11" xfId="21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3" xfId="0" applyNumberFormat="1" applyFont="1" applyFill="1" applyBorder="1" applyAlignment="1">
      <alignment/>
    </xf>
    <xf numFmtId="165" fontId="4" fillId="0" borderId="13" xfId="21" applyNumberFormat="1" applyFont="1" applyFill="1" applyBorder="1" applyAlignment="1">
      <alignment/>
    </xf>
    <xf numFmtId="165" fontId="4" fillId="0" borderId="14" xfId="21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/>
    </xf>
    <xf numFmtId="38" fontId="4" fillId="0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9" fontId="4" fillId="0" borderId="11" xfId="21" applyFont="1" applyFill="1" applyBorder="1" applyAlignment="1">
      <alignment/>
    </xf>
    <xf numFmtId="164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164" fontId="4" fillId="0" borderId="17" xfId="0" applyNumberFormat="1" applyFont="1" applyFill="1" applyBorder="1" applyAlignment="1">
      <alignment/>
    </xf>
    <xf numFmtId="164" fontId="4" fillId="0" borderId="18" xfId="0" applyNumberFormat="1" applyFont="1" applyFill="1" applyBorder="1" applyAlignment="1">
      <alignment/>
    </xf>
    <xf numFmtId="165" fontId="4" fillId="0" borderId="18" xfId="21" applyNumberFormat="1" applyFont="1" applyFill="1" applyBorder="1" applyAlignment="1">
      <alignment/>
    </xf>
    <xf numFmtId="165" fontId="4" fillId="0" borderId="19" xfId="21" applyNumberFormat="1" applyFont="1" applyFill="1" applyBorder="1" applyAlignment="1">
      <alignment/>
    </xf>
    <xf numFmtId="0" fontId="4" fillId="0" borderId="17" xfId="0" applyNumberFormat="1" applyFont="1" applyFill="1" applyBorder="1" applyAlignment="1">
      <alignment/>
    </xf>
    <xf numFmtId="38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9" fontId="4" fillId="0" borderId="19" xfId="21" applyFont="1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9" fontId="4" fillId="0" borderId="14" xfId="21" applyFont="1" applyFill="1" applyBorder="1" applyAlignment="1">
      <alignment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4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2" borderId="26" xfId="0" applyFill="1" applyBorder="1" applyAlignment="1">
      <alignment/>
    </xf>
    <xf numFmtId="0" fontId="0" fillId="2" borderId="27" xfId="0" applyFill="1" applyBorder="1" applyAlignment="1">
      <alignment/>
    </xf>
    <xf numFmtId="0" fontId="4" fillId="3" borderId="28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0" fillId="2" borderId="5" xfId="0" applyFill="1" applyBorder="1" applyAlignment="1">
      <alignment horizontal="centerContinuous"/>
    </xf>
    <xf numFmtId="0" fontId="0" fillId="2" borderId="6" xfId="0" applyFill="1" applyBorder="1" applyAlignment="1">
      <alignment horizontal="centerContinuous"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4" fillId="2" borderId="29" xfId="0" applyFont="1" applyFill="1" applyBorder="1" applyAlignment="1">
      <alignment horizontal="centerContinuous"/>
    </xf>
    <xf numFmtId="0" fontId="0" fillId="2" borderId="30" xfId="0" applyFill="1" applyBorder="1" applyAlignment="1">
      <alignment horizontal="centerContinuous"/>
    </xf>
    <xf numFmtId="0" fontId="4" fillId="4" borderId="31" xfId="0" applyFont="1" applyFill="1" applyBorder="1" applyAlignment="1">
      <alignment horizontal="centerContinuous"/>
    </xf>
    <xf numFmtId="0" fontId="4" fillId="4" borderId="8" xfId="0" applyFont="1" applyFill="1" applyBorder="1" applyAlignment="1">
      <alignment horizontal="centerContinuous"/>
    </xf>
    <xf numFmtId="0" fontId="4" fillId="4" borderId="11" xfId="0" applyFont="1" applyFill="1" applyBorder="1" applyAlignment="1">
      <alignment horizontal="centerContinuous"/>
    </xf>
    <xf numFmtId="164" fontId="4" fillId="0" borderId="8" xfId="15" applyNumberFormat="1" applyFont="1" applyFill="1" applyBorder="1" applyAlignment="1">
      <alignment horizontal="right"/>
    </xf>
    <xf numFmtId="49" fontId="4" fillId="0" borderId="8" xfId="15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shrinkToFit="1"/>
    </xf>
    <xf numFmtId="0" fontId="4" fillId="3" borderId="32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31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64" fontId="4" fillId="0" borderId="31" xfId="15" applyNumberFormat="1" applyFont="1" applyFill="1" applyBorder="1" applyAlignment="1">
      <alignment horizontal="right"/>
    </xf>
    <xf numFmtId="164" fontId="4" fillId="0" borderId="33" xfId="0" applyNumberFormat="1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164" fontId="4" fillId="0" borderId="33" xfId="15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9" xfId="15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11" xfId="15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 horizontal="center"/>
    </xf>
    <xf numFmtId="164" fontId="4" fillId="0" borderId="35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164" fontId="4" fillId="0" borderId="37" xfId="0" applyNumberFormat="1" applyFont="1" applyFill="1" applyBorder="1" applyAlignment="1">
      <alignment horizontal="center"/>
    </xf>
    <xf numFmtId="164" fontId="4" fillId="0" borderId="38" xfId="0" applyNumberFormat="1" applyFont="1" applyFill="1" applyBorder="1" applyAlignment="1">
      <alignment horizontal="center"/>
    </xf>
    <xf numFmtId="0" fontId="4" fillId="0" borderId="7" xfId="0" applyFont="1" applyFill="1" applyBorder="1" applyAlignment="1" applyProtection="1">
      <alignment horizontal="left"/>
      <protection/>
    </xf>
    <xf numFmtId="0" fontId="4" fillId="0" borderId="39" xfId="0" applyFont="1" applyFill="1" applyBorder="1" applyAlignment="1">
      <alignment horizontal="left" wrapText="1"/>
    </xf>
    <xf numFmtId="0" fontId="4" fillId="0" borderId="39" xfId="0" applyFont="1" applyFill="1" applyBorder="1" applyAlignment="1">
      <alignment horizontal="right"/>
    </xf>
    <xf numFmtId="0" fontId="4" fillId="0" borderId="40" xfId="0" applyFont="1" applyFill="1" applyBorder="1" applyAlignment="1" applyProtection="1">
      <alignment horizontal="left"/>
      <protection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164" fontId="4" fillId="0" borderId="28" xfId="15" applyNumberFormat="1" applyFont="1" applyFill="1" applyBorder="1" applyAlignment="1">
      <alignment horizontal="right"/>
    </xf>
    <xf numFmtId="164" fontId="4" fillId="0" borderId="42" xfId="15" applyNumberFormat="1" applyFont="1" applyFill="1" applyBorder="1" applyAlignment="1">
      <alignment horizontal="right"/>
    </xf>
    <xf numFmtId="164" fontId="4" fillId="0" borderId="18" xfId="15" applyNumberFormat="1" applyFont="1" applyFill="1" applyBorder="1" applyAlignment="1">
      <alignment horizontal="right"/>
    </xf>
    <xf numFmtId="164" fontId="4" fillId="0" borderId="19" xfId="15" applyNumberFormat="1" applyFont="1" applyFill="1" applyBorder="1" applyAlignment="1">
      <alignment horizontal="right"/>
    </xf>
    <xf numFmtId="164" fontId="4" fillId="0" borderId="17" xfId="15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/>
    </xf>
    <xf numFmtId="0" fontId="4" fillId="0" borderId="43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44" xfId="0" applyFont="1" applyFill="1" applyBorder="1" applyAlignment="1">
      <alignment/>
    </xf>
    <xf numFmtId="164" fontId="4" fillId="0" borderId="13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/>
    </xf>
    <xf numFmtId="0" fontId="0" fillId="2" borderId="0" xfId="0" applyFill="1" applyBorder="1" applyAlignment="1">
      <alignment horizontal="centerContinuous"/>
    </xf>
    <xf numFmtId="0" fontId="4" fillId="2" borderId="40" xfId="0" applyFont="1" applyFill="1" applyBorder="1" applyAlignment="1">
      <alignment/>
    </xf>
    <xf numFmtId="0" fontId="4" fillId="3" borderId="42" xfId="0" applyFont="1" applyFill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164" fontId="4" fillId="0" borderId="46" xfId="0" applyNumberFormat="1" applyFont="1" applyFill="1" applyBorder="1" applyAlignment="1">
      <alignment horizontal="center"/>
    </xf>
    <xf numFmtId="0" fontId="4" fillId="2" borderId="26" xfId="0" applyFont="1" applyFill="1" applyBorder="1" applyAlignment="1">
      <alignment horizontal="centerContinuous"/>
    </xf>
    <xf numFmtId="0" fontId="4" fillId="3" borderId="47" xfId="0" applyFont="1" applyFill="1" applyBorder="1" applyAlignment="1">
      <alignment horizontal="center"/>
    </xf>
    <xf numFmtId="0" fontId="4" fillId="3" borderId="48" xfId="0" applyFont="1" applyFill="1" applyBorder="1" applyAlignment="1">
      <alignment horizontal="center"/>
    </xf>
    <xf numFmtId="0" fontId="4" fillId="2" borderId="26" xfId="0" applyFont="1" applyFill="1" applyBorder="1" applyAlignment="1">
      <alignment shrinkToFit="1"/>
    </xf>
    <xf numFmtId="38" fontId="4" fillId="0" borderId="8" xfId="15" applyNumberFormat="1" applyFont="1" applyFill="1" applyBorder="1" applyAlignment="1" applyProtection="1">
      <alignment horizontal="right"/>
      <protection locked="0"/>
    </xf>
    <xf numFmtId="38" fontId="4" fillId="0" borderId="8" xfId="15" applyNumberFormat="1" applyFont="1" applyFill="1" applyBorder="1" applyAlignment="1">
      <alignment horizontal="right"/>
    </xf>
    <xf numFmtId="164" fontId="4" fillId="0" borderId="10" xfId="0" applyNumberFormat="1" applyFont="1" applyFill="1" applyBorder="1" applyAlignment="1">
      <alignment horizontal="center"/>
    </xf>
    <xf numFmtId="164" fontId="4" fillId="0" borderId="15" xfId="0" applyNumberFormat="1" applyFont="1" applyFill="1" applyBorder="1" applyAlignment="1">
      <alignment horizontal="center"/>
    </xf>
    <xf numFmtId="0" fontId="4" fillId="3" borderId="49" xfId="0" applyFont="1" applyFill="1" applyBorder="1" applyAlignment="1">
      <alignment horizontal="center"/>
    </xf>
    <xf numFmtId="164" fontId="4" fillId="0" borderId="50" xfId="0" applyNumberFormat="1" applyFont="1" applyFill="1" applyBorder="1" applyAlignment="1">
      <alignment horizontal="center"/>
    </xf>
    <xf numFmtId="38" fontId="4" fillId="0" borderId="46" xfId="15" applyNumberFormat="1" applyFont="1" applyFill="1" applyBorder="1" applyAlignment="1" applyProtection="1">
      <alignment horizontal="right"/>
      <protection locked="0"/>
    </xf>
    <xf numFmtId="38" fontId="4" fillId="0" borderId="31" xfId="15" applyNumberFormat="1" applyFont="1" applyFill="1" applyBorder="1" applyAlignment="1" applyProtection="1">
      <alignment horizontal="right"/>
      <protection locked="0"/>
    </xf>
    <xf numFmtId="38" fontId="4" fillId="0" borderId="28" xfId="15" applyNumberFormat="1" applyFont="1" applyFill="1" applyBorder="1" applyAlignment="1" applyProtection="1">
      <alignment horizontal="right"/>
      <protection locked="0"/>
    </xf>
    <xf numFmtId="0" fontId="4" fillId="3" borderId="51" xfId="0" applyFont="1" applyFill="1" applyBorder="1" applyAlignment="1">
      <alignment horizontal="center"/>
    </xf>
    <xf numFmtId="0" fontId="4" fillId="3" borderId="52" xfId="0" applyFont="1" applyFill="1" applyBorder="1" applyAlignment="1">
      <alignment horizontal="center"/>
    </xf>
    <xf numFmtId="0" fontId="4" fillId="3" borderId="53" xfId="0" applyFont="1" applyFill="1" applyBorder="1" applyAlignment="1">
      <alignment horizontal="center"/>
    </xf>
    <xf numFmtId="38" fontId="4" fillId="0" borderId="9" xfId="15" applyNumberFormat="1" applyFont="1" applyFill="1" applyBorder="1" applyAlignment="1" applyProtection="1">
      <alignment horizontal="right"/>
      <protection locked="0"/>
    </xf>
    <xf numFmtId="38" fontId="4" fillId="0" borderId="11" xfId="15" applyNumberFormat="1" applyFont="1" applyFill="1" applyBorder="1" applyAlignment="1" applyProtection="1">
      <alignment horizontal="right"/>
      <protection locked="0"/>
    </xf>
    <xf numFmtId="38" fontId="4" fillId="0" borderId="11" xfId="15" applyNumberFormat="1" applyFont="1" applyFill="1" applyBorder="1" applyAlignment="1">
      <alignment horizontal="right"/>
    </xf>
    <xf numFmtId="38" fontId="4" fillId="0" borderId="19" xfId="15" applyNumberFormat="1" applyFont="1" applyFill="1" applyBorder="1" applyAlignment="1" applyProtection="1">
      <alignment horizontal="right"/>
      <protection locked="0"/>
    </xf>
    <xf numFmtId="38" fontId="4" fillId="0" borderId="17" xfId="15" applyNumberFormat="1" applyFont="1" applyFill="1" applyBorder="1" applyAlignment="1" applyProtection="1">
      <alignment horizontal="right"/>
      <protection locked="0"/>
    </xf>
    <xf numFmtId="38" fontId="4" fillId="0" borderId="18" xfId="15" applyNumberFormat="1" applyFont="1" applyFill="1" applyBorder="1" applyAlignment="1" applyProtection="1">
      <alignment horizontal="right"/>
      <protection locked="0"/>
    </xf>
    <xf numFmtId="164" fontId="4" fillId="0" borderId="8" xfId="15" applyNumberFormat="1" applyFont="1" applyFill="1" applyBorder="1" applyAlignment="1" applyProtection="1">
      <alignment horizontal="right"/>
      <protection locked="0"/>
    </xf>
    <xf numFmtId="0" fontId="4" fillId="2" borderId="5" xfId="0" applyFont="1" applyFill="1" applyBorder="1" applyAlignment="1">
      <alignment horizontal="center"/>
    </xf>
    <xf numFmtId="164" fontId="4" fillId="0" borderId="31" xfId="15" applyNumberFormat="1" applyFont="1" applyFill="1" applyBorder="1" applyAlignment="1" applyProtection="1">
      <alignment horizontal="right"/>
      <protection locked="0"/>
    </xf>
    <xf numFmtId="164" fontId="4" fillId="0" borderId="33" xfId="15" applyNumberFormat="1" applyFont="1" applyFill="1" applyBorder="1" applyAlignment="1" applyProtection="1">
      <alignment horizontal="right"/>
      <protection locked="0"/>
    </xf>
    <xf numFmtId="164" fontId="4" fillId="0" borderId="9" xfId="15" applyNumberFormat="1" applyFont="1" applyFill="1" applyBorder="1" applyAlignment="1" applyProtection="1">
      <alignment horizontal="right"/>
      <protection locked="0"/>
    </xf>
    <xf numFmtId="164" fontId="4" fillId="0" borderId="11" xfId="15" applyNumberFormat="1" applyFont="1" applyFill="1" applyBorder="1" applyAlignment="1" applyProtection="1">
      <alignment horizontal="right"/>
      <protection locked="0"/>
    </xf>
    <xf numFmtId="0" fontId="4" fillId="2" borderId="27" xfId="0" applyFont="1" applyFill="1" applyBorder="1" applyAlignment="1">
      <alignment/>
    </xf>
    <xf numFmtId="164" fontId="4" fillId="0" borderId="54" xfId="0" applyNumberFormat="1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164" fontId="4" fillId="0" borderId="54" xfId="15" applyNumberFormat="1" applyFont="1" applyFill="1" applyBorder="1" applyAlignment="1" applyProtection="1">
      <alignment horizontal="right"/>
      <protection locked="0"/>
    </xf>
    <xf numFmtId="164" fontId="4" fillId="0" borderId="9" xfId="15" applyNumberFormat="1" applyFont="1" applyFill="1" applyBorder="1" applyAlignment="1" applyProtection="1">
      <alignment horizontal="right"/>
      <protection/>
    </xf>
    <xf numFmtId="0" fontId="4" fillId="2" borderId="7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4" fontId="4" fillId="0" borderId="10" xfId="15" applyNumberFormat="1" applyFont="1" applyFill="1" applyBorder="1" applyAlignment="1" applyProtection="1">
      <alignment horizontal="right"/>
      <protection locked="0"/>
    </xf>
    <xf numFmtId="164" fontId="4" fillId="0" borderId="33" xfId="15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Fill="1" applyBorder="1" applyAlignment="1">
      <alignment horizontal="center"/>
    </xf>
    <xf numFmtId="164" fontId="4" fillId="0" borderId="12" xfId="0" applyNumberFormat="1" applyFont="1" applyFill="1" applyBorder="1" applyAlignment="1">
      <alignment horizontal="center"/>
    </xf>
    <xf numFmtId="164" fontId="4" fillId="0" borderId="29" xfId="0" applyNumberFormat="1" applyFont="1" applyFill="1" applyBorder="1" applyAlignment="1">
      <alignment horizontal="center"/>
    </xf>
    <xf numFmtId="164" fontId="4" fillId="0" borderId="55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center"/>
    </xf>
    <xf numFmtId="0" fontId="4" fillId="2" borderId="40" xfId="0" applyFont="1" applyFill="1" applyBorder="1" applyAlignment="1">
      <alignment shrinkToFit="1"/>
    </xf>
    <xf numFmtId="164" fontId="4" fillId="0" borderId="28" xfId="15" applyNumberFormat="1" applyFont="1" applyFill="1" applyBorder="1" applyAlignment="1" applyProtection="1">
      <alignment horizontal="right"/>
      <protection locked="0"/>
    </xf>
    <xf numFmtId="164" fontId="4" fillId="0" borderId="42" xfId="15" applyNumberFormat="1" applyFont="1" applyFill="1" applyBorder="1" applyAlignment="1" applyProtection="1">
      <alignment horizontal="right"/>
      <protection locked="0"/>
    </xf>
    <xf numFmtId="164" fontId="4" fillId="0" borderId="18" xfId="15" applyNumberFormat="1" applyFont="1" applyFill="1" applyBorder="1" applyAlignment="1" applyProtection="1">
      <alignment horizontal="right"/>
      <protection locked="0"/>
    </xf>
    <xf numFmtId="164" fontId="4" fillId="0" borderId="19" xfId="15" applyNumberFormat="1" applyFont="1" applyFill="1" applyBorder="1" applyAlignment="1" applyProtection="1">
      <alignment horizontal="right"/>
      <protection locked="0"/>
    </xf>
    <xf numFmtId="164" fontId="4" fillId="0" borderId="17" xfId="15" applyNumberFormat="1" applyFont="1" applyFill="1" applyBorder="1" applyAlignment="1" applyProtection="1">
      <alignment horizontal="right"/>
      <protection locked="0"/>
    </xf>
    <xf numFmtId="164" fontId="4" fillId="0" borderId="56" xfId="15" applyNumberFormat="1" applyFont="1" applyFill="1" applyBorder="1" applyAlignment="1" applyProtection="1">
      <alignment horizontal="right"/>
      <protection locked="0"/>
    </xf>
    <xf numFmtId="164" fontId="4" fillId="0" borderId="16" xfId="15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2" borderId="57" xfId="0" applyFont="1" applyFill="1" applyBorder="1" applyAlignment="1">
      <alignment horizontal="centerContinuous"/>
    </xf>
    <xf numFmtId="0" fontId="5" fillId="2" borderId="58" xfId="0" applyFont="1" applyFill="1" applyBorder="1" applyAlignment="1">
      <alignment horizontal="centerContinuous"/>
    </xf>
    <xf numFmtId="0" fontId="5" fillId="2" borderId="59" xfId="0" applyFont="1" applyFill="1" applyBorder="1" applyAlignment="1">
      <alignment horizontal="centerContinuous"/>
    </xf>
    <xf numFmtId="0" fontId="0" fillId="2" borderId="58" xfId="0" applyFill="1" applyBorder="1" applyAlignment="1">
      <alignment horizontal="centerContinuous"/>
    </xf>
    <xf numFmtId="0" fontId="4" fillId="2" borderId="58" xfId="0" applyFont="1" applyFill="1" applyBorder="1" applyAlignment="1">
      <alignment horizontal="centerContinuous"/>
    </xf>
    <xf numFmtId="0" fontId="4" fillId="2" borderId="59" xfId="0" applyFont="1" applyFill="1" applyBorder="1" applyAlignment="1">
      <alignment horizontal="centerContinuous"/>
    </xf>
    <xf numFmtId="164" fontId="4" fillId="0" borderId="0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wrapText="1"/>
    </xf>
    <xf numFmtId="0" fontId="4" fillId="2" borderId="39" xfId="0" applyFont="1" applyFill="1" applyBorder="1" applyAlignment="1">
      <alignment horizontal="center" wrapText="1" shrinkToFit="1"/>
    </xf>
    <xf numFmtId="0" fontId="4" fillId="0" borderId="4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6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54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left" vertical="center" wrapText="1"/>
    </xf>
    <xf numFmtId="0" fontId="4" fillId="0" borderId="6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 wrapText="1"/>
    </xf>
    <xf numFmtId="0" fontId="8" fillId="2" borderId="57" xfId="0" applyFont="1" applyFill="1" applyBorder="1" applyAlignment="1">
      <alignment horizontal="center"/>
    </xf>
    <xf numFmtId="0" fontId="8" fillId="2" borderId="58" xfId="0" applyFont="1" applyFill="1" applyBorder="1" applyAlignment="1">
      <alignment horizontal="center"/>
    </xf>
    <xf numFmtId="0" fontId="8" fillId="2" borderId="64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9" fillId="2" borderId="57" xfId="0" applyFont="1" applyFill="1" applyBorder="1" applyAlignment="1">
      <alignment horizontal="left"/>
    </xf>
    <xf numFmtId="0" fontId="9" fillId="2" borderId="58" xfId="0" applyFont="1" applyFill="1" applyBorder="1" applyAlignment="1">
      <alignment horizontal="left"/>
    </xf>
    <xf numFmtId="0" fontId="9" fillId="2" borderId="64" xfId="0" applyFont="1" applyFill="1" applyBorder="1" applyAlignment="1">
      <alignment horizontal="left"/>
    </xf>
    <xf numFmtId="0" fontId="10" fillId="2" borderId="57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87"/>
  <sheetViews>
    <sheetView tabSelected="1" view="pageBreakPreview" zoomScale="60" zoomScaleNormal="70" workbookViewId="0" topLeftCell="A131">
      <selection activeCell="B4" sqref="B4"/>
    </sheetView>
  </sheetViews>
  <sheetFormatPr defaultColWidth="9.00390625" defaultRowHeight="15" customHeight="1"/>
  <cols>
    <col min="1" max="1" width="10.75390625" style="1" customWidth="1"/>
    <col min="2" max="2" width="18.875" style="1" customWidth="1"/>
    <col min="3" max="3" width="6.00390625" style="1" bestFit="1" customWidth="1"/>
    <col min="4" max="4" width="7.50390625" style="1" customWidth="1"/>
    <col min="5" max="5" width="4.75390625" style="1" customWidth="1"/>
    <col min="6" max="13" width="8.25390625" style="1" bestFit="1" customWidth="1"/>
    <col min="14" max="15" width="10.375" style="1" bestFit="1" customWidth="1"/>
    <col min="16" max="16" width="7.375" style="1" customWidth="1"/>
    <col min="17" max="17" width="6.625" style="1" bestFit="1" customWidth="1"/>
    <col min="18" max="20" width="8.25390625" style="1" bestFit="1" customWidth="1"/>
    <col min="21" max="24" width="7.625" style="1" bestFit="1" customWidth="1"/>
    <col min="25" max="25" width="10.375" style="1" bestFit="1" customWidth="1"/>
    <col min="26" max="26" width="9.875" style="1" bestFit="1" customWidth="1"/>
    <col min="27" max="27" width="9.00390625" style="1" customWidth="1"/>
    <col min="28" max="28" width="8.875" style="1" bestFit="1" customWidth="1"/>
    <col min="29" max="35" width="8.25390625" style="1" bestFit="1" customWidth="1"/>
    <col min="36" max="36" width="10.375" style="1" bestFit="1" customWidth="1"/>
    <col min="37" max="38" width="9.875" style="1" bestFit="1" customWidth="1"/>
    <col min="39" max="45" width="9.25390625" style="1" bestFit="1" customWidth="1"/>
    <col min="46" max="46" width="9.875" style="1" bestFit="1" customWidth="1"/>
    <col min="47" max="47" width="7.875" style="1" bestFit="1" customWidth="1"/>
    <col min="48" max="52" width="8.25390625" style="1" bestFit="1" customWidth="1"/>
    <col min="53" max="54" width="10.375" style="1" bestFit="1" customWidth="1"/>
    <col min="55" max="16384" width="12.75390625" style="0" customWidth="1"/>
  </cols>
  <sheetData>
    <row r="1" ht="15" customHeight="1">
      <c r="E1" s="2"/>
    </row>
    <row r="2" spans="1:54" ht="15" customHeight="1">
      <c r="A2" s="3"/>
      <c r="B2" s="2"/>
      <c r="C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5:45" ht="22.5" customHeight="1" thickBot="1">
      <c r="E3" s="2"/>
      <c r="AS3" s="175"/>
    </row>
    <row r="4" spans="1:54" ht="39" customHeight="1" thickBot="1">
      <c r="A4" s="2"/>
      <c r="B4" s="229" t="s">
        <v>238</v>
      </c>
      <c r="C4" s="170"/>
      <c r="D4" s="170"/>
      <c r="E4" s="170"/>
      <c r="F4" s="170"/>
      <c r="G4" s="170"/>
      <c r="H4" s="170"/>
      <c r="I4" s="170"/>
      <c r="J4" s="171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</row>
    <row r="5" spans="2:54" ht="15" customHeight="1">
      <c r="B5" s="176" t="s">
        <v>199</v>
      </c>
      <c r="C5" s="177"/>
      <c r="D5" s="177"/>
      <c r="E5" s="178"/>
      <c r="F5" s="12" t="s">
        <v>37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 t="s">
        <v>38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 t="s">
        <v>39</v>
      </c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 t="s">
        <v>40</v>
      </c>
      <c r="AN5" s="12"/>
      <c r="AO5" s="12"/>
      <c r="AP5" s="12"/>
      <c r="AQ5" s="12"/>
      <c r="AR5" s="12"/>
      <c r="AS5" s="12"/>
      <c r="AT5" s="12"/>
      <c r="AU5" s="12" t="s">
        <v>41</v>
      </c>
      <c r="AV5" s="12"/>
      <c r="AW5" s="12"/>
      <c r="AX5" s="12"/>
      <c r="AY5" s="12"/>
      <c r="AZ5" s="12"/>
      <c r="BA5" s="12"/>
      <c r="BB5" s="12"/>
    </row>
    <row r="6" spans="2:54" ht="15" customHeight="1">
      <c r="B6" s="179"/>
      <c r="C6" s="180"/>
      <c r="D6" s="180"/>
      <c r="E6" s="181"/>
      <c r="F6" s="49">
        <v>1998</v>
      </c>
      <c r="G6" s="51">
        <v>1999</v>
      </c>
      <c r="H6" s="51">
        <v>2000</v>
      </c>
      <c r="I6" s="51">
        <v>2001</v>
      </c>
      <c r="J6" s="51">
        <v>2002</v>
      </c>
      <c r="K6" s="51">
        <v>2003</v>
      </c>
      <c r="L6" s="51">
        <v>2004</v>
      </c>
      <c r="M6" s="51">
        <v>2005</v>
      </c>
      <c r="N6" s="51" t="s">
        <v>165</v>
      </c>
      <c r="O6" s="51" t="s">
        <v>166</v>
      </c>
      <c r="P6" s="52" t="s">
        <v>166</v>
      </c>
      <c r="Q6" s="49">
        <v>1998</v>
      </c>
      <c r="R6" s="51">
        <v>1999</v>
      </c>
      <c r="S6" s="51">
        <v>2000</v>
      </c>
      <c r="T6" s="51">
        <v>2001</v>
      </c>
      <c r="U6" s="51">
        <v>2002</v>
      </c>
      <c r="V6" s="51">
        <v>2003</v>
      </c>
      <c r="W6" s="51">
        <v>2004</v>
      </c>
      <c r="X6" s="51">
        <v>2005</v>
      </c>
      <c r="Y6" s="51" t="s">
        <v>165</v>
      </c>
      <c r="Z6" s="51" t="s">
        <v>166</v>
      </c>
      <c r="AA6" s="52" t="s">
        <v>168</v>
      </c>
      <c r="AB6" s="49">
        <v>1998</v>
      </c>
      <c r="AC6" s="51">
        <v>1999</v>
      </c>
      <c r="AD6" s="51">
        <v>2000</v>
      </c>
      <c r="AE6" s="51">
        <v>2001</v>
      </c>
      <c r="AF6" s="51">
        <v>2002</v>
      </c>
      <c r="AG6" s="51">
        <v>2003</v>
      </c>
      <c r="AH6" s="51">
        <v>2004</v>
      </c>
      <c r="AI6" s="51">
        <v>2005</v>
      </c>
      <c r="AJ6" s="51" t="s">
        <v>165</v>
      </c>
      <c r="AK6" s="51" t="s">
        <v>166</v>
      </c>
      <c r="AL6" s="52" t="s">
        <v>166</v>
      </c>
      <c r="AM6" s="49">
        <v>1998</v>
      </c>
      <c r="AN6" s="51">
        <v>1999</v>
      </c>
      <c r="AO6" s="51">
        <v>2000</v>
      </c>
      <c r="AP6" s="51">
        <v>2001</v>
      </c>
      <c r="AQ6" s="51">
        <v>2002</v>
      </c>
      <c r="AR6" s="51">
        <v>2003</v>
      </c>
      <c r="AS6" s="51">
        <v>2004</v>
      </c>
      <c r="AT6" s="52" t="s">
        <v>165</v>
      </c>
      <c r="AU6" s="49">
        <v>2000</v>
      </c>
      <c r="AV6" s="51">
        <v>2001</v>
      </c>
      <c r="AW6" s="51">
        <v>2002</v>
      </c>
      <c r="AX6" s="51">
        <v>2003</v>
      </c>
      <c r="AY6" s="51">
        <v>2004</v>
      </c>
      <c r="AZ6" s="51">
        <v>2005</v>
      </c>
      <c r="BA6" s="51" t="s">
        <v>165</v>
      </c>
      <c r="BB6" s="52" t="s">
        <v>166</v>
      </c>
    </row>
    <row r="7" spans="2:54" ht="15" customHeight="1" thickBot="1">
      <c r="B7" s="5"/>
      <c r="C7" s="6"/>
      <c r="D7" s="6"/>
      <c r="E7" s="7"/>
      <c r="F7" s="50"/>
      <c r="G7" s="53"/>
      <c r="H7" s="53"/>
      <c r="I7" s="53"/>
      <c r="J7" s="53"/>
      <c r="K7" s="53"/>
      <c r="L7" s="53"/>
      <c r="M7" s="53"/>
      <c r="N7" s="53" t="s">
        <v>164</v>
      </c>
      <c r="O7" s="53" t="s">
        <v>164</v>
      </c>
      <c r="P7" s="54" t="s">
        <v>167</v>
      </c>
      <c r="Q7" s="50"/>
      <c r="R7" s="53"/>
      <c r="S7" s="53"/>
      <c r="T7" s="53"/>
      <c r="U7" s="53"/>
      <c r="V7" s="53"/>
      <c r="W7" s="53"/>
      <c r="X7" s="53"/>
      <c r="Y7" s="53" t="s">
        <v>164</v>
      </c>
      <c r="Z7" s="53" t="s">
        <v>167</v>
      </c>
      <c r="AA7" s="54" t="s">
        <v>169</v>
      </c>
      <c r="AB7" s="50"/>
      <c r="AC7" s="53"/>
      <c r="AD7" s="53"/>
      <c r="AE7" s="53"/>
      <c r="AF7" s="53"/>
      <c r="AG7" s="53"/>
      <c r="AH7" s="53"/>
      <c r="AI7" s="53"/>
      <c r="AJ7" s="53" t="s">
        <v>164</v>
      </c>
      <c r="AK7" s="53" t="s">
        <v>167</v>
      </c>
      <c r="AL7" s="54" t="s">
        <v>170</v>
      </c>
      <c r="AM7" s="50"/>
      <c r="AN7" s="53"/>
      <c r="AO7" s="53"/>
      <c r="AP7" s="53"/>
      <c r="AQ7" s="53"/>
      <c r="AR7" s="53"/>
      <c r="AS7" s="53"/>
      <c r="AT7" s="54" t="s">
        <v>171</v>
      </c>
      <c r="AU7" s="50"/>
      <c r="AV7" s="53"/>
      <c r="AW7" s="53"/>
      <c r="AX7" s="53"/>
      <c r="AY7" s="53"/>
      <c r="AZ7" s="53"/>
      <c r="BA7" s="53" t="s">
        <v>164</v>
      </c>
      <c r="BB7" s="54" t="s">
        <v>164</v>
      </c>
    </row>
    <row r="8" spans="2:54" ht="15" customHeight="1">
      <c r="B8" s="184" t="s">
        <v>42</v>
      </c>
      <c r="C8" s="185"/>
      <c r="D8" s="185"/>
      <c r="E8" s="186"/>
      <c r="F8" s="27">
        <v>2408</v>
      </c>
      <c r="G8" s="28">
        <v>2269</v>
      </c>
      <c r="H8" s="28">
        <v>2177</v>
      </c>
      <c r="I8" s="28">
        <v>2146</v>
      </c>
      <c r="J8" s="28">
        <v>2281</v>
      </c>
      <c r="K8" s="28">
        <v>2455</v>
      </c>
      <c r="L8" s="28">
        <v>2779</v>
      </c>
      <c r="M8" s="28">
        <v>3070</v>
      </c>
      <c r="N8" s="28">
        <v>893</v>
      </c>
      <c r="O8" s="29">
        <v>0.41019751952227834</v>
      </c>
      <c r="P8" s="30">
        <v>-0.10880398671096346</v>
      </c>
      <c r="Q8" s="31">
        <v>1207</v>
      </c>
      <c r="R8" s="28">
        <v>859</v>
      </c>
      <c r="S8" s="28">
        <v>697</v>
      </c>
      <c r="T8" s="28">
        <v>641</v>
      </c>
      <c r="U8" s="32">
        <v>607</v>
      </c>
      <c r="V8" s="32">
        <v>588</v>
      </c>
      <c r="W8" s="32">
        <v>608</v>
      </c>
      <c r="X8" s="32">
        <v>577</v>
      </c>
      <c r="Y8" s="28">
        <v>-120</v>
      </c>
      <c r="Z8" s="29">
        <v>-0.46893123446561724</v>
      </c>
      <c r="AA8" s="30">
        <v>1.0521096003277504</v>
      </c>
      <c r="AB8" s="27">
        <v>3123</v>
      </c>
      <c r="AC8" s="28">
        <v>2065</v>
      </c>
      <c r="AD8" s="28">
        <v>1595</v>
      </c>
      <c r="AE8" s="28">
        <v>1430</v>
      </c>
      <c r="AF8" s="28">
        <v>1338</v>
      </c>
      <c r="AG8" s="28">
        <v>1264</v>
      </c>
      <c r="AH8" s="28">
        <v>1331</v>
      </c>
      <c r="AI8" s="28">
        <v>1230</v>
      </c>
      <c r="AJ8" s="28">
        <v>-365</v>
      </c>
      <c r="AK8" s="29">
        <v>-0.5421069484470061</v>
      </c>
      <c r="AL8" s="46"/>
      <c r="AM8" s="27">
        <v>12412</v>
      </c>
      <c r="AN8" s="28">
        <v>12903</v>
      </c>
      <c r="AO8" s="28">
        <v>13705</v>
      </c>
      <c r="AP8" s="28">
        <v>14378</v>
      </c>
      <c r="AQ8" s="28">
        <v>17300</v>
      </c>
      <c r="AR8" s="28">
        <v>19492</v>
      </c>
      <c r="AS8" s="28">
        <v>20722</v>
      </c>
      <c r="AT8" s="47">
        <v>7819</v>
      </c>
      <c r="AU8" s="27">
        <v>522</v>
      </c>
      <c r="AV8" s="28">
        <v>677</v>
      </c>
      <c r="AW8" s="28">
        <v>735</v>
      </c>
      <c r="AX8" s="28">
        <v>891.228</v>
      </c>
      <c r="AY8" s="28">
        <v>1039</v>
      </c>
      <c r="AZ8" s="28">
        <v>1168</v>
      </c>
      <c r="BA8" s="28">
        <v>646</v>
      </c>
      <c r="BB8" s="48">
        <v>1.2375478927203065</v>
      </c>
    </row>
    <row r="9" spans="2:54" ht="15" customHeight="1">
      <c r="B9" s="187" t="s">
        <v>200</v>
      </c>
      <c r="C9" s="188"/>
      <c r="D9" s="188"/>
      <c r="E9" s="189"/>
      <c r="F9" s="18">
        <v>87341</v>
      </c>
      <c r="G9" s="14">
        <v>83307</v>
      </c>
      <c r="H9" s="14">
        <v>78980</v>
      </c>
      <c r="I9" s="14">
        <v>75815</v>
      </c>
      <c r="J9" s="14">
        <v>78686</v>
      </c>
      <c r="K9" s="14">
        <v>83879</v>
      </c>
      <c r="L9" s="14">
        <v>91046</v>
      </c>
      <c r="M9" s="14">
        <v>96090</v>
      </c>
      <c r="N9" s="14">
        <v>17110</v>
      </c>
      <c r="O9" s="15">
        <v>0.2166371233223601</v>
      </c>
      <c r="P9" s="25">
        <v>-0.1319655144777367</v>
      </c>
      <c r="Q9" s="23">
        <v>46721</v>
      </c>
      <c r="R9" s="14">
        <v>33977</v>
      </c>
      <c r="S9" s="14">
        <v>27356</v>
      </c>
      <c r="T9" s="14">
        <v>24780</v>
      </c>
      <c r="U9" s="17">
        <v>23332</v>
      </c>
      <c r="V9" s="17">
        <v>21839</v>
      </c>
      <c r="W9" s="17">
        <v>22181</v>
      </c>
      <c r="X9" s="17">
        <v>21496</v>
      </c>
      <c r="Y9" s="14">
        <v>-5860</v>
      </c>
      <c r="Z9" s="15">
        <v>-0.4696175167483573</v>
      </c>
      <c r="AA9" s="25">
        <v>0.9986723062060081</v>
      </c>
      <c r="AB9" s="18">
        <v>127083</v>
      </c>
      <c r="AC9" s="14">
        <v>87461</v>
      </c>
      <c r="AD9" s="14">
        <v>67177</v>
      </c>
      <c r="AE9" s="14">
        <v>59411</v>
      </c>
      <c r="AF9" s="14">
        <v>54668</v>
      </c>
      <c r="AG9" s="14">
        <v>49482</v>
      </c>
      <c r="AH9" s="14">
        <v>48923</v>
      </c>
      <c r="AI9" s="14">
        <v>46944</v>
      </c>
      <c r="AJ9" s="14">
        <v>-20233</v>
      </c>
      <c r="AK9" s="15">
        <v>-0.5325023803341123</v>
      </c>
      <c r="AL9" s="26"/>
      <c r="AM9" s="18">
        <v>292028</v>
      </c>
      <c r="AN9" s="14">
        <v>300327</v>
      </c>
      <c r="AO9" s="14">
        <v>307706</v>
      </c>
      <c r="AP9" s="14">
        <v>311411</v>
      </c>
      <c r="AQ9" s="14">
        <v>338198</v>
      </c>
      <c r="AR9" s="14">
        <v>359929</v>
      </c>
      <c r="AS9" s="14">
        <v>371305</v>
      </c>
      <c r="AT9" s="35">
        <v>70978</v>
      </c>
      <c r="AU9" s="18">
        <v>17563</v>
      </c>
      <c r="AV9" s="14">
        <v>19726</v>
      </c>
      <c r="AW9" s="14">
        <v>21629</v>
      </c>
      <c r="AX9" s="14">
        <v>24751.772</v>
      </c>
      <c r="AY9" s="14">
        <v>26470</v>
      </c>
      <c r="AZ9" s="14">
        <v>28672</v>
      </c>
      <c r="BA9" s="14">
        <v>11109</v>
      </c>
      <c r="BB9" s="34">
        <v>0.6325229174970107</v>
      </c>
    </row>
    <row r="10" spans="2:54" ht="15" customHeight="1">
      <c r="B10" s="187" t="s">
        <v>201</v>
      </c>
      <c r="C10" s="188"/>
      <c r="D10" s="188"/>
      <c r="E10" s="189"/>
      <c r="F10" s="18">
        <v>66200</v>
      </c>
      <c r="G10" s="14">
        <v>62845</v>
      </c>
      <c r="H10" s="14">
        <v>59225</v>
      </c>
      <c r="I10" s="14">
        <v>56784</v>
      </c>
      <c r="J10" s="14">
        <v>59156</v>
      </c>
      <c r="K10" s="14">
        <v>63158</v>
      </c>
      <c r="L10" s="14">
        <v>68057</v>
      </c>
      <c r="M10" s="14">
        <v>70555</v>
      </c>
      <c r="N10" s="14">
        <v>11330</v>
      </c>
      <c r="O10" s="15">
        <v>0.19130434782608696</v>
      </c>
      <c r="P10" s="25">
        <v>-0.1422356495468278</v>
      </c>
      <c r="Q10" s="23">
        <v>35776</v>
      </c>
      <c r="R10" s="14">
        <v>26006</v>
      </c>
      <c r="S10" s="14">
        <v>20833</v>
      </c>
      <c r="T10" s="14">
        <v>18951</v>
      </c>
      <c r="U10" s="17">
        <v>17805</v>
      </c>
      <c r="V10" s="17">
        <v>16567</v>
      </c>
      <c r="W10" s="17">
        <v>16688</v>
      </c>
      <c r="X10" s="17">
        <v>16035</v>
      </c>
      <c r="Y10" s="14">
        <v>-4798</v>
      </c>
      <c r="Z10" s="15">
        <v>-0.470287343470483</v>
      </c>
      <c r="AA10" s="25">
        <v>0.9782167587032229</v>
      </c>
      <c r="AB10" s="18">
        <v>98953</v>
      </c>
      <c r="AC10" s="14">
        <v>68357</v>
      </c>
      <c r="AD10" s="14">
        <v>52334</v>
      </c>
      <c r="AE10" s="14">
        <v>46405</v>
      </c>
      <c r="AF10" s="14">
        <v>42476</v>
      </c>
      <c r="AG10" s="14">
        <v>38147</v>
      </c>
      <c r="AH10" s="14">
        <v>37212</v>
      </c>
      <c r="AI10" s="14">
        <v>35371</v>
      </c>
      <c r="AJ10" s="14">
        <v>-16963</v>
      </c>
      <c r="AK10" s="15">
        <v>-0.5310399886814953</v>
      </c>
      <c r="AL10" s="26"/>
      <c r="AM10" s="18">
        <v>201929</v>
      </c>
      <c r="AN10" s="14">
        <v>206228</v>
      </c>
      <c r="AO10" s="14">
        <v>209631</v>
      </c>
      <c r="AP10" s="14">
        <v>210568</v>
      </c>
      <c r="AQ10" s="14">
        <v>224189</v>
      </c>
      <c r="AR10" s="14">
        <v>235427</v>
      </c>
      <c r="AS10" s="14">
        <v>240524</v>
      </c>
      <c r="AT10" s="35">
        <v>34296</v>
      </c>
      <c r="AU10" s="18">
        <v>13474</v>
      </c>
      <c r="AV10" s="14">
        <v>14960</v>
      </c>
      <c r="AW10" s="14">
        <v>16312</v>
      </c>
      <c r="AX10" s="14">
        <v>18618</v>
      </c>
      <c r="AY10" s="14">
        <v>19607</v>
      </c>
      <c r="AZ10" s="14">
        <v>20819</v>
      </c>
      <c r="BA10" s="14">
        <v>7345</v>
      </c>
      <c r="BB10" s="34">
        <v>0.5451239424075999</v>
      </c>
    </row>
    <row r="11" spans="2:54" ht="15" customHeight="1">
      <c r="B11" s="187" t="s">
        <v>202</v>
      </c>
      <c r="C11" s="188"/>
      <c r="D11" s="188"/>
      <c r="E11" s="189"/>
      <c r="F11" s="18">
        <v>21141</v>
      </c>
      <c r="G11" s="14">
        <v>20462</v>
      </c>
      <c r="H11" s="14">
        <v>19755</v>
      </c>
      <c r="I11" s="14">
        <v>19031</v>
      </c>
      <c r="J11" s="14">
        <v>19530</v>
      </c>
      <c r="K11" s="14">
        <v>20721</v>
      </c>
      <c r="L11" s="14">
        <v>22989</v>
      </c>
      <c r="M11" s="14">
        <v>25535</v>
      </c>
      <c r="N11" s="14">
        <v>5780</v>
      </c>
      <c r="O11" s="15">
        <v>0.2925841559098962</v>
      </c>
      <c r="P11" s="25">
        <v>-0.09980606404616622</v>
      </c>
      <c r="Q11" s="23">
        <v>10945</v>
      </c>
      <c r="R11" s="14">
        <v>7971</v>
      </c>
      <c r="S11" s="14">
        <v>6523</v>
      </c>
      <c r="T11" s="14">
        <v>5829</v>
      </c>
      <c r="U11" s="17">
        <v>5527</v>
      </c>
      <c r="V11" s="17">
        <v>5272</v>
      </c>
      <c r="W11" s="17">
        <v>5493</v>
      </c>
      <c r="X11" s="17">
        <v>5461</v>
      </c>
      <c r="Y11" s="14">
        <v>-1062</v>
      </c>
      <c r="Z11" s="15">
        <v>-0.4674280493375971</v>
      </c>
      <c r="AA11" s="25">
        <v>1.064002740228011</v>
      </c>
      <c r="AB11" s="18">
        <v>28130</v>
      </c>
      <c r="AC11" s="14">
        <v>19104</v>
      </c>
      <c r="AD11" s="14">
        <v>14843</v>
      </c>
      <c r="AE11" s="14">
        <v>13006</v>
      </c>
      <c r="AF11" s="14">
        <v>12192</v>
      </c>
      <c r="AG11" s="14">
        <v>11335</v>
      </c>
      <c r="AH11" s="14">
        <v>11711</v>
      </c>
      <c r="AI11" s="14">
        <v>11573</v>
      </c>
      <c r="AJ11" s="14">
        <v>-3270</v>
      </c>
      <c r="AK11" s="15">
        <v>-0.5376466405972271</v>
      </c>
      <c r="AL11" s="26"/>
      <c r="AM11" s="18">
        <v>90099</v>
      </c>
      <c r="AN11" s="14">
        <v>94099</v>
      </c>
      <c r="AO11" s="14">
        <v>98075</v>
      </c>
      <c r="AP11" s="14">
        <v>100843</v>
      </c>
      <c r="AQ11" s="14">
        <v>114009</v>
      </c>
      <c r="AR11" s="14">
        <v>124502</v>
      </c>
      <c r="AS11" s="14">
        <v>130781</v>
      </c>
      <c r="AT11" s="35">
        <v>36682</v>
      </c>
      <c r="AU11" s="18">
        <v>4089</v>
      </c>
      <c r="AV11" s="14">
        <v>4766</v>
      </c>
      <c r="AW11" s="14">
        <v>5317</v>
      </c>
      <c r="AX11" s="14">
        <v>6133.772</v>
      </c>
      <c r="AY11" s="14">
        <v>6863</v>
      </c>
      <c r="AZ11" s="14">
        <v>7853</v>
      </c>
      <c r="BA11" s="14">
        <v>3764</v>
      </c>
      <c r="BB11" s="34">
        <v>0.9205184641721692</v>
      </c>
    </row>
    <row r="12" spans="2:54" ht="15" customHeight="1">
      <c r="B12" s="187" t="s">
        <v>43</v>
      </c>
      <c r="C12" s="188"/>
      <c r="D12" s="188"/>
      <c r="E12" s="189"/>
      <c r="F12" s="18">
        <v>1396</v>
      </c>
      <c r="G12" s="14">
        <v>1328</v>
      </c>
      <c r="H12" s="14">
        <v>1241</v>
      </c>
      <c r="I12" s="14">
        <v>1232</v>
      </c>
      <c r="J12" s="14">
        <v>1319</v>
      </c>
      <c r="K12" s="14">
        <v>1405</v>
      </c>
      <c r="L12" s="14">
        <v>1605</v>
      </c>
      <c r="M12" s="14">
        <v>1757</v>
      </c>
      <c r="N12" s="14">
        <v>516</v>
      </c>
      <c r="O12" s="15">
        <v>0.41579371474617244</v>
      </c>
      <c r="P12" s="25">
        <v>-0.1174785100286533</v>
      </c>
      <c r="Q12" s="23">
        <v>740</v>
      </c>
      <c r="R12" s="14">
        <v>542</v>
      </c>
      <c r="S12" s="14">
        <v>421</v>
      </c>
      <c r="T12" s="14">
        <v>400</v>
      </c>
      <c r="U12" s="17">
        <v>361</v>
      </c>
      <c r="V12" s="17">
        <v>334</v>
      </c>
      <c r="W12" s="17">
        <v>360</v>
      </c>
      <c r="X12" s="17">
        <v>344</v>
      </c>
      <c r="Y12" s="14">
        <v>-77</v>
      </c>
      <c r="Z12" s="15">
        <v>-0.4594594594594595</v>
      </c>
      <c r="AA12" s="25">
        <v>1.0384708136992638</v>
      </c>
      <c r="AB12" s="18">
        <v>1923</v>
      </c>
      <c r="AC12" s="14">
        <v>1321</v>
      </c>
      <c r="AD12" s="14">
        <v>976</v>
      </c>
      <c r="AE12" s="14">
        <v>892</v>
      </c>
      <c r="AF12" s="14">
        <v>780</v>
      </c>
      <c r="AG12" s="14">
        <v>692</v>
      </c>
      <c r="AH12" s="14">
        <v>767</v>
      </c>
      <c r="AI12" s="14">
        <v>717</v>
      </c>
      <c r="AJ12" s="14">
        <v>-259</v>
      </c>
      <c r="AK12" s="15">
        <v>-0.5361414456578263</v>
      </c>
      <c r="AL12" s="26"/>
      <c r="AM12" s="18">
        <v>6657</v>
      </c>
      <c r="AN12" s="14">
        <v>7001</v>
      </c>
      <c r="AO12" s="14">
        <v>7403</v>
      </c>
      <c r="AP12" s="14">
        <v>7725</v>
      </c>
      <c r="AQ12" s="14">
        <v>9086</v>
      </c>
      <c r="AR12" s="14">
        <v>9895</v>
      </c>
      <c r="AS12" s="14">
        <v>10487</v>
      </c>
      <c r="AT12" s="35">
        <v>3486</v>
      </c>
      <c r="AU12" s="18">
        <v>274</v>
      </c>
      <c r="AV12" s="14">
        <v>357</v>
      </c>
      <c r="AW12" s="14">
        <v>367</v>
      </c>
      <c r="AX12" s="14">
        <v>448</v>
      </c>
      <c r="AY12" s="14">
        <v>558</v>
      </c>
      <c r="AZ12" s="14">
        <v>653</v>
      </c>
      <c r="BA12" s="14">
        <v>379</v>
      </c>
      <c r="BB12" s="34">
        <v>1.3832116788321167</v>
      </c>
    </row>
    <row r="13" spans="2:54" ht="15" customHeight="1">
      <c r="B13" s="187" t="s">
        <v>44</v>
      </c>
      <c r="C13" s="188"/>
      <c r="D13" s="188"/>
      <c r="E13" s="189"/>
      <c r="F13" s="18">
        <v>788</v>
      </c>
      <c r="G13" s="14">
        <v>727</v>
      </c>
      <c r="H13" s="14">
        <v>726</v>
      </c>
      <c r="I13" s="14">
        <v>711</v>
      </c>
      <c r="J13" s="14">
        <v>761</v>
      </c>
      <c r="K13" s="14">
        <v>844</v>
      </c>
      <c r="L13" s="14">
        <v>954</v>
      </c>
      <c r="M13" s="14">
        <v>1088</v>
      </c>
      <c r="N13" s="14">
        <v>362</v>
      </c>
      <c r="O13" s="15">
        <v>0.4986225895316804</v>
      </c>
      <c r="P13" s="25">
        <v>-0.09771573604060914</v>
      </c>
      <c r="Q13" s="23">
        <v>382</v>
      </c>
      <c r="R13" s="14">
        <v>257</v>
      </c>
      <c r="S13" s="14">
        <v>227</v>
      </c>
      <c r="T13" s="14">
        <v>196</v>
      </c>
      <c r="U13" s="17">
        <v>201</v>
      </c>
      <c r="V13" s="17">
        <v>215</v>
      </c>
      <c r="W13" s="17">
        <v>213</v>
      </c>
      <c r="X13" s="17">
        <v>199</v>
      </c>
      <c r="Y13" s="14">
        <v>-28</v>
      </c>
      <c r="Z13" s="15">
        <v>-0.4869109947643979</v>
      </c>
      <c r="AA13" s="25">
        <v>1.1141538559178186</v>
      </c>
      <c r="AB13" s="18">
        <v>971</v>
      </c>
      <c r="AC13" s="14">
        <v>605</v>
      </c>
      <c r="AD13" s="14">
        <v>508</v>
      </c>
      <c r="AE13" s="14">
        <v>438</v>
      </c>
      <c r="AF13" s="14">
        <v>458</v>
      </c>
      <c r="AG13" s="14">
        <v>474</v>
      </c>
      <c r="AH13" s="14">
        <v>482</v>
      </c>
      <c r="AI13" s="14">
        <v>437</v>
      </c>
      <c r="AJ13" s="14">
        <v>-71</v>
      </c>
      <c r="AK13" s="15">
        <v>-0.548918640576725</v>
      </c>
      <c r="AL13" s="26"/>
      <c r="AM13" s="18">
        <v>4472</v>
      </c>
      <c r="AN13" s="14">
        <v>4545</v>
      </c>
      <c r="AO13" s="14">
        <v>4899</v>
      </c>
      <c r="AP13" s="14">
        <v>5187</v>
      </c>
      <c r="AQ13" s="14">
        <v>6450</v>
      </c>
      <c r="AR13" s="14">
        <v>7601</v>
      </c>
      <c r="AS13" s="14">
        <v>8166</v>
      </c>
      <c r="AT13" s="35">
        <v>3621</v>
      </c>
      <c r="AU13" s="18">
        <v>200</v>
      </c>
      <c r="AV13" s="14">
        <v>263</v>
      </c>
      <c r="AW13" s="14">
        <v>300</v>
      </c>
      <c r="AX13" s="14">
        <v>367.228</v>
      </c>
      <c r="AY13" s="14">
        <v>399</v>
      </c>
      <c r="AZ13" s="14">
        <v>426</v>
      </c>
      <c r="BA13" s="14">
        <v>226</v>
      </c>
      <c r="BB13" s="34">
        <v>1.13</v>
      </c>
    </row>
    <row r="14" spans="2:54" ht="15" customHeight="1">
      <c r="B14" s="187" t="s">
        <v>45</v>
      </c>
      <c r="C14" s="188"/>
      <c r="D14" s="188"/>
      <c r="E14" s="189"/>
      <c r="F14" s="18">
        <v>224</v>
      </c>
      <c r="G14" s="14">
        <v>214</v>
      </c>
      <c r="H14" s="14">
        <v>210</v>
      </c>
      <c r="I14" s="14">
        <v>203</v>
      </c>
      <c r="J14" s="14">
        <v>201</v>
      </c>
      <c r="K14" s="14">
        <v>206</v>
      </c>
      <c r="L14" s="14">
        <v>220</v>
      </c>
      <c r="M14" s="14">
        <v>225</v>
      </c>
      <c r="N14" s="14">
        <v>15</v>
      </c>
      <c r="O14" s="15">
        <v>0.07142857142857142</v>
      </c>
      <c r="P14" s="25">
        <v>-0.09375</v>
      </c>
      <c r="Q14" s="23">
        <v>85</v>
      </c>
      <c r="R14" s="14">
        <v>60</v>
      </c>
      <c r="S14" s="14">
        <v>49</v>
      </c>
      <c r="T14" s="14">
        <v>45</v>
      </c>
      <c r="U14" s="17">
        <v>45</v>
      </c>
      <c r="V14" s="17">
        <v>39</v>
      </c>
      <c r="W14" s="17">
        <v>35</v>
      </c>
      <c r="X14" s="17">
        <v>34</v>
      </c>
      <c r="Y14" s="14">
        <v>-15</v>
      </c>
      <c r="Z14" s="15">
        <v>-0.47058823529411764</v>
      </c>
      <c r="AA14" s="25">
        <v>0.8818623177083093</v>
      </c>
      <c r="AB14" s="18">
        <v>229</v>
      </c>
      <c r="AC14" s="14">
        <v>139</v>
      </c>
      <c r="AD14" s="14">
        <v>111</v>
      </c>
      <c r="AE14" s="14">
        <v>100</v>
      </c>
      <c r="AF14" s="14">
        <v>100</v>
      </c>
      <c r="AG14" s="14">
        <v>98</v>
      </c>
      <c r="AH14" s="14">
        <v>82</v>
      </c>
      <c r="AI14" s="14">
        <v>76</v>
      </c>
      <c r="AJ14" s="14">
        <v>-35</v>
      </c>
      <c r="AK14" s="15">
        <v>-0.5633187772925764</v>
      </c>
      <c r="AL14" s="26"/>
      <c r="AM14" s="18">
        <v>1283</v>
      </c>
      <c r="AN14" s="14">
        <v>1357</v>
      </c>
      <c r="AO14" s="14">
        <v>1403</v>
      </c>
      <c r="AP14" s="14">
        <v>1466</v>
      </c>
      <c r="AQ14" s="14">
        <v>1764</v>
      </c>
      <c r="AR14" s="14">
        <v>1996</v>
      </c>
      <c r="AS14" s="14">
        <v>2069</v>
      </c>
      <c r="AT14" s="35">
        <v>712</v>
      </c>
      <c r="AU14" s="18">
        <v>48</v>
      </c>
      <c r="AV14" s="14">
        <v>57</v>
      </c>
      <c r="AW14" s="14">
        <v>68</v>
      </c>
      <c r="AX14" s="14">
        <v>76</v>
      </c>
      <c r="AY14" s="14">
        <v>82</v>
      </c>
      <c r="AZ14" s="14">
        <v>89</v>
      </c>
      <c r="BA14" s="14">
        <v>41</v>
      </c>
      <c r="BB14" s="34">
        <v>0.8541666666666666</v>
      </c>
    </row>
    <row r="15" spans="2:54" ht="15" customHeight="1" thickBot="1">
      <c r="B15" s="190" t="s">
        <v>46</v>
      </c>
      <c r="C15" s="191"/>
      <c r="D15" s="191"/>
      <c r="E15" s="192"/>
      <c r="F15" s="18">
        <v>89749</v>
      </c>
      <c r="G15" s="14">
        <v>85576</v>
      </c>
      <c r="H15" s="14">
        <v>81157</v>
      </c>
      <c r="I15" s="14">
        <v>77961</v>
      </c>
      <c r="J15" s="14">
        <v>80967</v>
      </c>
      <c r="K15" s="14">
        <v>86334</v>
      </c>
      <c r="L15" s="14">
        <v>93825</v>
      </c>
      <c r="M15" s="14">
        <v>99160</v>
      </c>
      <c r="N15" s="14">
        <v>18003</v>
      </c>
      <c r="O15" s="15">
        <v>0.2218292938378698</v>
      </c>
      <c r="P15" s="25">
        <v>-0.13134408182820978</v>
      </c>
      <c r="Q15" s="23">
        <v>47928</v>
      </c>
      <c r="R15" s="14">
        <v>34836</v>
      </c>
      <c r="S15" s="14">
        <v>28053</v>
      </c>
      <c r="T15" s="14">
        <v>25421</v>
      </c>
      <c r="U15" s="17">
        <v>23939</v>
      </c>
      <c r="V15" s="17">
        <v>22427</v>
      </c>
      <c r="W15" s="17">
        <v>22789</v>
      </c>
      <c r="X15" s="17">
        <v>22073</v>
      </c>
      <c r="Y15" s="14">
        <v>-5980</v>
      </c>
      <c r="Z15" s="15">
        <v>-0.4696002336838591</v>
      </c>
      <c r="AA15" s="25">
        <v>1</v>
      </c>
      <c r="AB15" s="18">
        <v>130206</v>
      </c>
      <c r="AC15" s="14">
        <v>89526</v>
      </c>
      <c r="AD15" s="14">
        <v>68772</v>
      </c>
      <c r="AE15" s="14">
        <v>60841</v>
      </c>
      <c r="AF15" s="14">
        <v>56006</v>
      </c>
      <c r="AG15" s="14">
        <v>50746</v>
      </c>
      <c r="AH15" s="14">
        <v>50254</v>
      </c>
      <c r="AI15" s="14">
        <v>48174</v>
      </c>
      <c r="AJ15" s="14">
        <v>-20598</v>
      </c>
      <c r="AK15" s="15">
        <v>-0.5327327465708186</v>
      </c>
      <c r="AL15" s="26"/>
      <c r="AM15" s="18">
        <v>304440</v>
      </c>
      <c r="AN15" s="14">
        <v>313230</v>
      </c>
      <c r="AO15" s="14">
        <v>321411</v>
      </c>
      <c r="AP15" s="14">
        <v>325789</v>
      </c>
      <c r="AQ15" s="14">
        <v>355498</v>
      </c>
      <c r="AR15" s="14">
        <v>379421</v>
      </c>
      <c r="AS15" s="14">
        <v>392027</v>
      </c>
      <c r="AT15" s="35">
        <v>78797</v>
      </c>
      <c r="AU15" s="18">
        <v>18085</v>
      </c>
      <c r="AV15" s="14">
        <v>20403</v>
      </c>
      <c r="AW15" s="14">
        <v>22364</v>
      </c>
      <c r="AX15" s="14">
        <v>25643</v>
      </c>
      <c r="AY15" s="14">
        <v>27509</v>
      </c>
      <c r="AZ15" s="14">
        <v>29840</v>
      </c>
      <c r="BA15" s="14">
        <v>11755</v>
      </c>
      <c r="BB15" s="34">
        <v>0.6499861763892729</v>
      </c>
    </row>
    <row r="16" spans="2:54" ht="32.25" customHeight="1">
      <c r="B16" s="182" t="s">
        <v>203</v>
      </c>
      <c r="C16" s="182" t="s">
        <v>196</v>
      </c>
      <c r="D16" s="182" t="s">
        <v>197</v>
      </c>
      <c r="E16" s="183" t="s">
        <v>198</v>
      </c>
      <c r="F16" s="24"/>
      <c r="G16" s="16"/>
      <c r="H16" s="16"/>
      <c r="I16" s="16"/>
      <c r="J16" s="16"/>
      <c r="K16" s="16"/>
      <c r="L16" s="16"/>
      <c r="M16" s="16"/>
      <c r="N16" s="16"/>
      <c r="O16" s="16"/>
      <c r="P16" s="26"/>
      <c r="Q16" s="24"/>
      <c r="R16" s="16"/>
      <c r="S16" s="16"/>
      <c r="T16" s="16"/>
      <c r="U16" s="16"/>
      <c r="V16" s="16"/>
      <c r="W16" s="16"/>
      <c r="X16" s="16"/>
      <c r="Y16" s="16"/>
      <c r="Z16" s="16"/>
      <c r="AA16" s="26"/>
      <c r="AB16" s="24"/>
      <c r="AC16" s="16"/>
      <c r="AD16" s="16"/>
      <c r="AE16" s="16"/>
      <c r="AF16" s="16"/>
      <c r="AG16" s="16"/>
      <c r="AH16" s="16"/>
      <c r="AI16" s="16"/>
      <c r="AJ16" s="16"/>
      <c r="AK16" s="16"/>
      <c r="AL16" s="26"/>
      <c r="AM16" s="24"/>
      <c r="AN16" s="16"/>
      <c r="AO16" s="16"/>
      <c r="AP16" s="16"/>
      <c r="AQ16" s="16"/>
      <c r="AR16" s="16"/>
      <c r="AS16" s="16"/>
      <c r="AT16" s="26"/>
      <c r="AU16" s="24"/>
      <c r="AV16" s="16"/>
      <c r="AW16" s="16"/>
      <c r="AX16" s="16"/>
      <c r="AY16" s="16"/>
      <c r="AZ16" s="16"/>
      <c r="BA16" s="16"/>
      <c r="BB16" s="26"/>
    </row>
    <row r="17" spans="2:54" ht="15" customHeight="1">
      <c r="B17" s="19" t="s">
        <v>48</v>
      </c>
      <c r="C17" s="20">
        <v>1</v>
      </c>
      <c r="D17" s="20" t="s">
        <v>47</v>
      </c>
      <c r="E17" s="21">
        <v>1</v>
      </c>
      <c r="F17" s="18">
        <v>11</v>
      </c>
      <c r="G17" s="14">
        <v>10</v>
      </c>
      <c r="H17" s="14">
        <v>11</v>
      </c>
      <c r="I17" s="14">
        <v>11</v>
      </c>
      <c r="J17" s="14">
        <v>6</v>
      </c>
      <c r="K17" s="14">
        <v>9</v>
      </c>
      <c r="L17" s="14">
        <v>9</v>
      </c>
      <c r="M17" s="14">
        <v>10</v>
      </c>
      <c r="N17" s="14">
        <v>-1</v>
      </c>
      <c r="O17" s="15">
        <v>-0.09090909090909091</v>
      </c>
      <c r="P17" s="26"/>
      <c r="Q17" s="23">
        <v>5</v>
      </c>
      <c r="R17" s="14">
        <v>5</v>
      </c>
      <c r="S17" s="14">
        <v>4</v>
      </c>
      <c r="T17" s="14">
        <v>3</v>
      </c>
      <c r="U17" s="17">
        <v>4</v>
      </c>
      <c r="V17" s="17">
        <v>5</v>
      </c>
      <c r="W17" s="17">
        <v>5</v>
      </c>
      <c r="X17" s="17">
        <v>3</v>
      </c>
      <c r="Y17" s="14">
        <v>-1</v>
      </c>
      <c r="Z17" s="16"/>
      <c r="AA17" s="26"/>
      <c r="AB17" s="18">
        <v>20693</v>
      </c>
      <c r="AC17" s="14">
        <v>13706</v>
      </c>
      <c r="AD17" s="14">
        <v>9706</v>
      </c>
      <c r="AE17" s="14">
        <v>8341</v>
      </c>
      <c r="AF17" s="14">
        <v>0</v>
      </c>
      <c r="AG17" s="14">
        <v>10</v>
      </c>
      <c r="AH17" s="14">
        <v>13</v>
      </c>
      <c r="AI17" s="14">
        <v>10</v>
      </c>
      <c r="AJ17" s="14">
        <v>-9696</v>
      </c>
      <c r="AK17" s="15">
        <v>-0.5969168317788625</v>
      </c>
      <c r="AL17" s="34">
        <v>-0.14063465897383062</v>
      </c>
      <c r="AM17" s="18">
        <v>67</v>
      </c>
      <c r="AN17" s="14">
        <v>70</v>
      </c>
      <c r="AO17" s="14">
        <v>73</v>
      </c>
      <c r="AP17" s="14">
        <v>76</v>
      </c>
      <c r="AQ17" s="14">
        <v>97</v>
      </c>
      <c r="AR17" s="14">
        <v>119</v>
      </c>
      <c r="AS17" s="14">
        <v>137</v>
      </c>
      <c r="AT17" s="35">
        <v>67</v>
      </c>
      <c r="AU17" s="18">
        <v>1</v>
      </c>
      <c r="AV17" s="14">
        <v>6</v>
      </c>
      <c r="AW17" s="14">
        <v>4</v>
      </c>
      <c r="AX17" s="14">
        <v>4</v>
      </c>
      <c r="AY17" s="14">
        <v>3</v>
      </c>
      <c r="AZ17" s="14">
        <v>5</v>
      </c>
      <c r="BA17" s="14">
        <v>4</v>
      </c>
      <c r="BB17" s="34">
        <v>4</v>
      </c>
    </row>
    <row r="18" spans="2:54" ht="15" customHeight="1">
      <c r="B18" s="19" t="s">
        <v>49</v>
      </c>
      <c r="C18" s="20"/>
      <c r="D18" s="20"/>
      <c r="E18" s="22">
        <v>2</v>
      </c>
      <c r="F18" s="18">
        <v>620</v>
      </c>
      <c r="G18" s="14">
        <v>608</v>
      </c>
      <c r="H18" s="14">
        <v>594</v>
      </c>
      <c r="I18" s="14">
        <v>577</v>
      </c>
      <c r="J18" s="14">
        <v>631</v>
      </c>
      <c r="K18" s="14">
        <v>661</v>
      </c>
      <c r="L18" s="14">
        <v>693</v>
      </c>
      <c r="M18" s="14">
        <v>740</v>
      </c>
      <c r="N18" s="14">
        <v>146</v>
      </c>
      <c r="O18" s="15">
        <v>0.24579124579124578</v>
      </c>
      <c r="P18" s="26"/>
      <c r="Q18" s="23">
        <v>345</v>
      </c>
      <c r="R18" s="14">
        <v>262</v>
      </c>
      <c r="S18" s="14">
        <v>221</v>
      </c>
      <c r="T18" s="14">
        <v>197</v>
      </c>
      <c r="U18" s="17">
        <v>192</v>
      </c>
      <c r="V18" s="17">
        <v>184</v>
      </c>
      <c r="W18" s="17">
        <v>194</v>
      </c>
      <c r="X18" s="17">
        <v>196</v>
      </c>
      <c r="Y18" s="14">
        <v>-25</v>
      </c>
      <c r="Z18" s="16"/>
      <c r="AA18" s="26"/>
      <c r="AB18" s="18">
        <v>205</v>
      </c>
      <c r="AC18" s="14">
        <v>130</v>
      </c>
      <c r="AD18" s="14">
        <v>112</v>
      </c>
      <c r="AE18" s="14">
        <v>94</v>
      </c>
      <c r="AF18" s="14">
        <v>7</v>
      </c>
      <c r="AG18" s="14">
        <v>452</v>
      </c>
      <c r="AH18" s="14">
        <v>472</v>
      </c>
      <c r="AI18" s="14">
        <v>481</v>
      </c>
      <c r="AJ18" s="14">
        <v>369</v>
      </c>
      <c r="AK18" s="15">
        <v>-0.5414634146341464</v>
      </c>
      <c r="AL18" s="34">
        <v>-0.16071428571428573</v>
      </c>
      <c r="AM18" s="18">
        <v>2002</v>
      </c>
      <c r="AN18" s="14">
        <v>2101</v>
      </c>
      <c r="AO18" s="14">
        <v>2184</v>
      </c>
      <c r="AP18" s="14">
        <v>2263</v>
      </c>
      <c r="AQ18" s="14">
        <v>2610</v>
      </c>
      <c r="AR18" s="14">
        <v>2784</v>
      </c>
      <c r="AS18" s="14">
        <v>2977</v>
      </c>
      <c r="AT18" s="35">
        <v>876</v>
      </c>
      <c r="AU18" s="18">
        <v>98</v>
      </c>
      <c r="AV18" s="14">
        <v>120</v>
      </c>
      <c r="AW18" s="14">
        <v>152</v>
      </c>
      <c r="AX18" s="14">
        <v>157</v>
      </c>
      <c r="AY18" s="14">
        <v>154</v>
      </c>
      <c r="AZ18" s="14">
        <v>183</v>
      </c>
      <c r="BA18" s="14">
        <v>85</v>
      </c>
      <c r="BB18" s="34">
        <v>0.8673469387755102</v>
      </c>
    </row>
    <row r="19" spans="2:54" ht="15" customHeight="1">
      <c r="B19" s="19" t="s">
        <v>50</v>
      </c>
      <c r="C19" s="20">
        <v>1</v>
      </c>
      <c r="D19" s="20" t="s">
        <v>47</v>
      </c>
      <c r="E19" s="22">
        <v>3</v>
      </c>
      <c r="F19" s="18">
        <v>32</v>
      </c>
      <c r="G19" s="14">
        <v>30</v>
      </c>
      <c r="H19" s="14">
        <v>28</v>
      </c>
      <c r="I19" s="14">
        <v>33</v>
      </c>
      <c r="J19" s="14">
        <v>37</v>
      </c>
      <c r="K19" s="14">
        <v>43</v>
      </c>
      <c r="L19" s="14">
        <v>48</v>
      </c>
      <c r="M19" s="14">
        <v>52</v>
      </c>
      <c r="N19" s="14">
        <v>24</v>
      </c>
      <c r="O19" s="15">
        <v>0.8571428571428571</v>
      </c>
      <c r="P19" s="25">
        <v>0.03125</v>
      </c>
      <c r="Q19" s="23">
        <v>22</v>
      </c>
      <c r="R19" s="14">
        <v>15</v>
      </c>
      <c r="S19" s="14">
        <v>14</v>
      </c>
      <c r="T19" s="14">
        <v>13</v>
      </c>
      <c r="U19" s="17">
        <v>13</v>
      </c>
      <c r="V19" s="17">
        <v>14</v>
      </c>
      <c r="W19" s="17">
        <v>12</v>
      </c>
      <c r="X19" s="17">
        <v>8</v>
      </c>
      <c r="Y19" s="14">
        <v>-6</v>
      </c>
      <c r="Z19" s="15">
        <v>-0.4090909090909091</v>
      </c>
      <c r="AA19" s="25"/>
      <c r="AB19" s="18">
        <v>48</v>
      </c>
      <c r="AC19" s="14">
        <v>33</v>
      </c>
      <c r="AD19" s="14">
        <v>32</v>
      </c>
      <c r="AE19" s="14">
        <v>29</v>
      </c>
      <c r="AF19" s="14">
        <v>452</v>
      </c>
      <c r="AG19" s="14">
        <v>28</v>
      </c>
      <c r="AH19" s="14">
        <v>27</v>
      </c>
      <c r="AI19" s="14">
        <v>16</v>
      </c>
      <c r="AJ19" s="14">
        <v>-16</v>
      </c>
      <c r="AK19" s="15">
        <v>-0.3958333333333333</v>
      </c>
      <c r="AL19" s="34">
        <v>-0.09375</v>
      </c>
      <c r="AM19" s="18">
        <v>175</v>
      </c>
      <c r="AN19" s="14">
        <v>210</v>
      </c>
      <c r="AO19" s="14">
        <v>230</v>
      </c>
      <c r="AP19" s="14">
        <v>255</v>
      </c>
      <c r="AQ19" s="14">
        <v>312</v>
      </c>
      <c r="AR19" s="14">
        <v>387</v>
      </c>
      <c r="AS19" s="14">
        <v>427</v>
      </c>
      <c r="AT19" s="35">
        <v>217</v>
      </c>
      <c r="AU19" s="18">
        <v>6</v>
      </c>
      <c r="AV19" s="14">
        <v>10</v>
      </c>
      <c r="AW19" s="14">
        <v>7</v>
      </c>
      <c r="AX19" s="14">
        <v>10</v>
      </c>
      <c r="AY19" s="14">
        <v>12</v>
      </c>
      <c r="AZ19" s="14">
        <v>13</v>
      </c>
      <c r="BA19" s="14">
        <v>7</v>
      </c>
      <c r="BB19" s="34">
        <v>1.1666666666666667</v>
      </c>
    </row>
    <row r="20" spans="2:54" ht="15" customHeight="1">
      <c r="B20" s="19" t="s">
        <v>51</v>
      </c>
      <c r="C20" s="20"/>
      <c r="D20" s="20"/>
      <c r="E20" s="21">
        <v>4</v>
      </c>
      <c r="F20" s="18">
        <v>24</v>
      </c>
      <c r="G20" s="14">
        <v>18</v>
      </c>
      <c r="H20" s="14">
        <v>26</v>
      </c>
      <c r="I20" s="14">
        <v>23</v>
      </c>
      <c r="J20" s="14">
        <v>26</v>
      </c>
      <c r="K20" s="14">
        <v>33</v>
      </c>
      <c r="L20" s="14">
        <v>37</v>
      </c>
      <c r="M20" s="14">
        <v>38</v>
      </c>
      <c r="N20" s="14">
        <v>12</v>
      </c>
      <c r="O20" s="15">
        <v>0.46153846153846156</v>
      </c>
      <c r="P20" s="25">
        <v>-0.041666666666666664</v>
      </c>
      <c r="Q20" s="23">
        <v>6</v>
      </c>
      <c r="R20" s="14">
        <v>2</v>
      </c>
      <c r="S20" s="14">
        <v>4</v>
      </c>
      <c r="T20" s="14">
        <v>3</v>
      </c>
      <c r="U20" s="17">
        <v>3</v>
      </c>
      <c r="V20" s="17">
        <v>4</v>
      </c>
      <c r="W20" s="17">
        <v>6</v>
      </c>
      <c r="X20" s="17">
        <v>10</v>
      </c>
      <c r="Y20" s="14">
        <v>6</v>
      </c>
      <c r="Z20" s="15">
        <v>-0.5</v>
      </c>
      <c r="AA20" s="25"/>
      <c r="AB20" s="18">
        <v>18</v>
      </c>
      <c r="AC20" s="14">
        <v>4</v>
      </c>
      <c r="AD20" s="14">
        <v>8</v>
      </c>
      <c r="AE20" s="14">
        <v>5</v>
      </c>
      <c r="AF20" s="14">
        <v>26</v>
      </c>
      <c r="AG20" s="14">
        <v>8</v>
      </c>
      <c r="AH20" s="14">
        <v>11</v>
      </c>
      <c r="AI20" s="14">
        <v>22</v>
      </c>
      <c r="AJ20" s="14">
        <v>14</v>
      </c>
      <c r="AK20" s="15">
        <v>-0.7222222222222222</v>
      </c>
      <c r="AL20" s="34">
        <v>-0.375</v>
      </c>
      <c r="AM20" s="18">
        <v>198</v>
      </c>
      <c r="AN20" s="14">
        <v>197</v>
      </c>
      <c r="AO20" s="14">
        <v>212</v>
      </c>
      <c r="AP20" s="14">
        <v>231</v>
      </c>
      <c r="AQ20" s="14">
        <v>273</v>
      </c>
      <c r="AR20" s="14">
        <v>335</v>
      </c>
      <c r="AS20" s="14">
        <v>378</v>
      </c>
      <c r="AT20" s="35">
        <v>181</v>
      </c>
      <c r="AU20" s="18">
        <v>8</v>
      </c>
      <c r="AV20" s="14">
        <v>11</v>
      </c>
      <c r="AW20" s="14">
        <v>19</v>
      </c>
      <c r="AX20" s="14">
        <v>23</v>
      </c>
      <c r="AY20" s="14">
        <v>20</v>
      </c>
      <c r="AZ20" s="14">
        <v>13</v>
      </c>
      <c r="BA20" s="14">
        <v>5</v>
      </c>
      <c r="BB20" s="34">
        <v>0.625</v>
      </c>
    </row>
    <row r="21" spans="2:54" ht="15" customHeight="1">
      <c r="B21" s="19" t="s">
        <v>53</v>
      </c>
      <c r="C21" s="20">
        <v>1</v>
      </c>
      <c r="D21" s="20" t="s">
        <v>52</v>
      </c>
      <c r="E21" s="22">
        <v>5</v>
      </c>
      <c r="F21" s="18">
        <v>7</v>
      </c>
      <c r="G21" s="14">
        <v>5</v>
      </c>
      <c r="H21" s="14">
        <v>7</v>
      </c>
      <c r="I21" s="14">
        <v>8</v>
      </c>
      <c r="J21" s="14">
        <v>13</v>
      </c>
      <c r="K21" s="14">
        <v>13</v>
      </c>
      <c r="L21" s="14">
        <v>16</v>
      </c>
      <c r="M21" s="14">
        <v>18</v>
      </c>
      <c r="N21" s="14">
        <v>11</v>
      </c>
      <c r="O21" s="15">
        <v>1.5714285714285714</v>
      </c>
      <c r="P21" s="25">
        <v>0.14285714285714285</v>
      </c>
      <c r="Q21" s="23">
        <v>5</v>
      </c>
      <c r="R21" s="14">
        <v>5</v>
      </c>
      <c r="S21" s="14">
        <v>4</v>
      </c>
      <c r="T21" s="14">
        <v>4</v>
      </c>
      <c r="U21" s="17">
        <v>6</v>
      </c>
      <c r="V21" s="17">
        <v>7</v>
      </c>
      <c r="W21" s="17">
        <v>6</v>
      </c>
      <c r="X21" s="17">
        <v>5</v>
      </c>
      <c r="Y21" s="14">
        <v>1</v>
      </c>
      <c r="Z21" s="15">
        <v>-0.2</v>
      </c>
      <c r="AA21" s="25"/>
      <c r="AB21" s="18">
        <v>10</v>
      </c>
      <c r="AC21" s="14">
        <v>6</v>
      </c>
      <c r="AD21" s="14">
        <v>6</v>
      </c>
      <c r="AE21" s="14">
        <v>8</v>
      </c>
      <c r="AF21" s="14">
        <v>5</v>
      </c>
      <c r="AG21" s="14">
        <v>16</v>
      </c>
      <c r="AH21" s="14">
        <v>11</v>
      </c>
      <c r="AI21" s="14">
        <v>8</v>
      </c>
      <c r="AJ21" s="14">
        <v>2</v>
      </c>
      <c r="AK21" s="15">
        <v>-0.2</v>
      </c>
      <c r="AL21" s="34">
        <v>0.3333333333333333</v>
      </c>
      <c r="AM21" s="18">
        <v>47</v>
      </c>
      <c r="AN21" s="14">
        <v>48</v>
      </c>
      <c r="AO21" s="14">
        <v>54</v>
      </c>
      <c r="AP21" s="14">
        <v>88</v>
      </c>
      <c r="AQ21" s="14">
        <v>163</v>
      </c>
      <c r="AR21" s="14">
        <v>181</v>
      </c>
      <c r="AS21" s="14">
        <v>188</v>
      </c>
      <c r="AT21" s="35">
        <v>140</v>
      </c>
      <c r="AU21" s="18">
        <v>7</v>
      </c>
      <c r="AV21" s="14">
        <v>5</v>
      </c>
      <c r="AW21" s="14">
        <v>4</v>
      </c>
      <c r="AX21" s="14">
        <v>6</v>
      </c>
      <c r="AY21" s="14">
        <v>9</v>
      </c>
      <c r="AZ21" s="14">
        <v>10</v>
      </c>
      <c r="BA21" s="14">
        <v>3</v>
      </c>
      <c r="BB21" s="34">
        <v>0.42857142857142855</v>
      </c>
    </row>
    <row r="22" spans="2:54" ht="15" customHeight="1">
      <c r="B22" s="19" t="s">
        <v>54</v>
      </c>
      <c r="C22" s="20">
        <v>1</v>
      </c>
      <c r="D22" s="20" t="s">
        <v>52</v>
      </c>
      <c r="E22" s="22">
        <v>6</v>
      </c>
      <c r="F22" s="18">
        <v>32</v>
      </c>
      <c r="G22" s="14">
        <v>33</v>
      </c>
      <c r="H22" s="14">
        <v>31</v>
      </c>
      <c r="I22" s="14">
        <v>29</v>
      </c>
      <c r="J22" s="14">
        <v>29</v>
      </c>
      <c r="K22" s="14">
        <v>32</v>
      </c>
      <c r="L22" s="14">
        <v>40</v>
      </c>
      <c r="M22" s="14">
        <v>46</v>
      </c>
      <c r="N22" s="14">
        <v>15</v>
      </c>
      <c r="O22" s="15">
        <v>0.4838709677419355</v>
      </c>
      <c r="P22" s="25">
        <v>-0.09375</v>
      </c>
      <c r="Q22" s="23">
        <v>20</v>
      </c>
      <c r="R22" s="14">
        <v>14</v>
      </c>
      <c r="S22" s="14">
        <v>12</v>
      </c>
      <c r="T22" s="14">
        <v>11</v>
      </c>
      <c r="U22" s="17">
        <v>7</v>
      </c>
      <c r="V22" s="17">
        <v>8</v>
      </c>
      <c r="W22" s="17">
        <v>8</v>
      </c>
      <c r="X22" s="17">
        <v>13</v>
      </c>
      <c r="Y22" s="14">
        <v>1</v>
      </c>
      <c r="Z22" s="15">
        <v>-0.45</v>
      </c>
      <c r="AA22" s="25"/>
      <c r="AB22" s="18">
        <v>47</v>
      </c>
      <c r="AC22" s="14">
        <v>31</v>
      </c>
      <c r="AD22" s="14">
        <v>23</v>
      </c>
      <c r="AE22" s="14">
        <v>19</v>
      </c>
      <c r="AF22" s="14">
        <v>14</v>
      </c>
      <c r="AG22" s="14">
        <v>15</v>
      </c>
      <c r="AH22" s="14">
        <v>19</v>
      </c>
      <c r="AI22" s="14">
        <v>30</v>
      </c>
      <c r="AJ22" s="14">
        <v>7</v>
      </c>
      <c r="AK22" s="15">
        <v>-0.5957446808510638</v>
      </c>
      <c r="AL22" s="34">
        <v>-0.17391304347826086</v>
      </c>
      <c r="AM22" s="18">
        <v>158</v>
      </c>
      <c r="AN22" s="14">
        <v>171</v>
      </c>
      <c r="AO22" s="14">
        <v>189</v>
      </c>
      <c r="AP22" s="14">
        <v>179</v>
      </c>
      <c r="AQ22" s="14">
        <v>204</v>
      </c>
      <c r="AR22" s="14">
        <v>236</v>
      </c>
      <c r="AS22" s="14">
        <v>270</v>
      </c>
      <c r="AT22" s="35">
        <v>99</v>
      </c>
      <c r="AU22" s="18">
        <v>6</v>
      </c>
      <c r="AV22" s="14">
        <v>10</v>
      </c>
      <c r="AW22" s="14">
        <v>12</v>
      </c>
      <c r="AX22" s="14">
        <v>15</v>
      </c>
      <c r="AY22" s="14">
        <v>18</v>
      </c>
      <c r="AZ22" s="14">
        <v>20</v>
      </c>
      <c r="BA22" s="14">
        <v>14</v>
      </c>
      <c r="BB22" s="34">
        <v>2.3333333333333335</v>
      </c>
    </row>
    <row r="23" spans="2:54" ht="15" customHeight="1">
      <c r="B23" s="19" t="s">
        <v>55</v>
      </c>
      <c r="C23" s="20"/>
      <c r="D23" s="20"/>
      <c r="E23" s="21">
        <v>7</v>
      </c>
      <c r="F23" s="18">
        <v>79</v>
      </c>
      <c r="G23" s="14">
        <v>73</v>
      </c>
      <c r="H23" s="14">
        <v>65</v>
      </c>
      <c r="I23" s="14">
        <v>71</v>
      </c>
      <c r="J23" s="14">
        <v>85</v>
      </c>
      <c r="K23" s="14">
        <v>85</v>
      </c>
      <c r="L23" s="14">
        <v>95</v>
      </c>
      <c r="M23" s="14">
        <v>120</v>
      </c>
      <c r="N23" s="14">
        <v>55</v>
      </c>
      <c r="O23" s="15">
        <v>0.846153846153846</v>
      </c>
      <c r="P23" s="25">
        <v>-0.10126582278481013</v>
      </c>
      <c r="Q23" s="23">
        <v>37</v>
      </c>
      <c r="R23" s="14">
        <v>27</v>
      </c>
      <c r="S23" s="14">
        <v>22</v>
      </c>
      <c r="T23" s="14">
        <v>16</v>
      </c>
      <c r="U23" s="17">
        <v>21</v>
      </c>
      <c r="V23" s="17">
        <v>18</v>
      </c>
      <c r="W23" s="17">
        <v>19</v>
      </c>
      <c r="X23" s="17">
        <v>19</v>
      </c>
      <c r="Y23" s="14">
        <v>-3</v>
      </c>
      <c r="Z23" s="15">
        <v>-0.5675675675675675</v>
      </c>
      <c r="AA23" s="25"/>
      <c r="AB23" s="18">
        <v>82</v>
      </c>
      <c r="AC23" s="14">
        <v>56</v>
      </c>
      <c r="AD23" s="14">
        <v>43</v>
      </c>
      <c r="AE23" s="14">
        <v>33</v>
      </c>
      <c r="AF23" s="14">
        <v>12</v>
      </c>
      <c r="AG23" s="14">
        <v>31</v>
      </c>
      <c r="AH23" s="14">
        <v>38</v>
      </c>
      <c r="AI23" s="14">
        <v>44</v>
      </c>
      <c r="AJ23" s="14">
        <v>1</v>
      </c>
      <c r="AK23" s="15">
        <v>-0.5975609756097561</v>
      </c>
      <c r="AL23" s="34">
        <v>-0.23255813953488372</v>
      </c>
      <c r="AM23" s="18">
        <v>418</v>
      </c>
      <c r="AN23" s="14">
        <v>440</v>
      </c>
      <c r="AO23" s="14">
        <v>452</v>
      </c>
      <c r="AP23" s="14">
        <v>496</v>
      </c>
      <c r="AQ23" s="14">
        <v>590</v>
      </c>
      <c r="AR23" s="14">
        <v>663</v>
      </c>
      <c r="AS23" s="14">
        <v>745</v>
      </c>
      <c r="AT23" s="35">
        <v>305</v>
      </c>
      <c r="AU23" s="18">
        <v>33</v>
      </c>
      <c r="AV23" s="14">
        <v>34</v>
      </c>
      <c r="AW23" s="14">
        <v>37</v>
      </c>
      <c r="AX23" s="14">
        <v>39</v>
      </c>
      <c r="AY23" s="14">
        <v>40</v>
      </c>
      <c r="AZ23" s="14">
        <v>48</v>
      </c>
      <c r="BA23" s="14">
        <v>15</v>
      </c>
      <c r="BB23" s="34">
        <v>0.45454545454545453</v>
      </c>
    </row>
    <row r="24" spans="2:54" ht="15" customHeight="1">
      <c r="B24" s="19" t="s">
        <v>56</v>
      </c>
      <c r="C24" s="20">
        <v>1</v>
      </c>
      <c r="D24" s="20" t="s">
        <v>52</v>
      </c>
      <c r="E24" s="22">
        <v>8</v>
      </c>
      <c r="F24" s="18"/>
      <c r="G24" s="14"/>
      <c r="H24" s="14"/>
      <c r="I24" s="14"/>
      <c r="J24" s="14">
        <v>12</v>
      </c>
      <c r="K24" s="14">
        <v>10</v>
      </c>
      <c r="L24" s="14">
        <v>13</v>
      </c>
      <c r="M24" s="14">
        <v>14</v>
      </c>
      <c r="N24" s="14"/>
      <c r="O24" s="15"/>
      <c r="P24" s="25"/>
      <c r="Q24" s="23">
        <v>6</v>
      </c>
      <c r="R24" s="14">
        <v>6</v>
      </c>
      <c r="S24" s="14">
        <v>4</v>
      </c>
      <c r="T24" s="14">
        <v>4</v>
      </c>
      <c r="U24" s="17">
        <v>4</v>
      </c>
      <c r="V24" s="17">
        <v>4</v>
      </c>
      <c r="W24" s="17">
        <v>3</v>
      </c>
      <c r="X24" s="17">
        <v>2</v>
      </c>
      <c r="Y24" s="14">
        <v>-2</v>
      </c>
      <c r="Z24" s="15"/>
      <c r="AA24" s="25"/>
      <c r="AB24" s="18">
        <v>18207</v>
      </c>
      <c r="AC24" s="14">
        <v>12223</v>
      </c>
      <c r="AD24" s="14">
        <v>8385</v>
      </c>
      <c r="AE24" s="14">
        <v>7011</v>
      </c>
      <c r="AF24" s="14">
        <v>41</v>
      </c>
      <c r="AG24" s="14">
        <v>7</v>
      </c>
      <c r="AH24" s="14">
        <v>7</v>
      </c>
      <c r="AI24" s="14">
        <v>5</v>
      </c>
      <c r="AJ24" s="14">
        <v>-8380</v>
      </c>
      <c r="AK24" s="15">
        <v>-0.6149283242708848</v>
      </c>
      <c r="AL24" s="34">
        <v>-0.16386404293381038</v>
      </c>
      <c r="AM24" s="18">
        <v>60</v>
      </c>
      <c r="AN24" s="14">
        <v>73</v>
      </c>
      <c r="AO24" s="14">
        <v>79</v>
      </c>
      <c r="AP24" s="14">
        <v>96</v>
      </c>
      <c r="AQ24" s="14">
        <v>129</v>
      </c>
      <c r="AR24" s="14">
        <v>138</v>
      </c>
      <c r="AS24" s="14">
        <v>152</v>
      </c>
      <c r="AT24" s="35">
        <v>79</v>
      </c>
      <c r="AU24" s="18">
        <v>3</v>
      </c>
      <c r="AV24" s="14">
        <v>3</v>
      </c>
      <c r="AW24" s="14">
        <v>6</v>
      </c>
      <c r="AX24" s="14">
        <v>8</v>
      </c>
      <c r="AY24" s="14">
        <v>13</v>
      </c>
      <c r="AZ24" s="14">
        <v>12</v>
      </c>
      <c r="BA24" s="14">
        <v>9</v>
      </c>
      <c r="BB24" s="34">
        <v>3</v>
      </c>
    </row>
    <row r="25" spans="2:54" ht="15" customHeight="1">
      <c r="B25" s="19" t="s">
        <v>57</v>
      </c>
      <c r="C25" s="20"/>
      <c r="D25" s="20"/>
      <c r="E25" s="22">
        <v>9</v>
      </c>
      <c r="F25" s="18">
        <v>97</v>
      </c>
      <c r="G25" s="14">
        <v>89</v>
      </c>
      <c r="H25" s="14">
        <v>89</v>
      </c>
      <c r="I25" s="14">
        <v>83</v>
      </c>
      <c r="J25" s="14">
        <v>92</v>
      </c>
      <c r="K25" s="14">
        <v>94</v>
      </c>
      <c r="L25" s="14">
        <v>111</v>
      </c>
      <c r="M25" s="14">
        <v>122</v>
      </c>
      <c r="N25" s="14">
        <v>33</v>
      </c>
      <c r="O25" s="15">
        <v>0.3707865168539326</v>
      </c>
      <c r="P25" s="25">
        <v>-0.14432989690721648</v>
      </c>
      <c r="Q25" s="23">
        <v>55</v>
      </c>
      <c r="R25" s="14">
        <v>32</v>
      </c>
      <c r="S25" s="14">
        <v>27</v>
      </c>
      <c r="T25" s="14">
        <v>18</v>
      </c>
      <c r="U25" s="17">
        <v>20</v>
      </c>
      <c r="V25" s="17">
        <v>14</v>
      </c>
      <c r="W25" s="17">
        <v>12</v>
      </c>
      <c r="X25" s="17">
        <v>9</v>
      </c>
      <c r="Y25" s="14">
        <v>-18</v>
      </c>
      <c r="Z25" s="15">
        <v>-0.6727272727272727</v>
      </c>
      <c r="AA25" s="25"/>
      <c r="AB25" s="18">
        <v>135</v>
      </c>
      <c r="AC25" s="14">
        <v>63</v>
      </c>
      <c r="AD25" s="14">
        <v>50</v>
      </c>
      <c r="AE25" s="14">
        <v>33</v>
      </c>
      <c r="AF25" s="14">
        <v>9</v>
      </c>
      <c r="AG25" s="14">
        <v>28</v>
      </c>
      <c r="AH25" s="14">
        <v>23</v>
      </c>
      <c r="AI25" s="14">
        <v>12</v>
      </c>
      <c r="AJ25" s="14">
        <v>-38</v>
      </c>
      <c r="AK25" s="15">
        <v>-0.7555555555555555</v>
      </c>
      <c r="AL25" s="34">
        <v>-0.34</v>
      </c>
      <c r="AM25" s="18">
        <v>546</v>
      </c>
      <c r="AN25" s="14">
        <v>524</v>
      </c>
      <c r="AO25" s="14">
        <v>570</v>
      </c>
      <c r="AP25" s="14">
        <v>606</v>
      </c>
      <c r="AQ25" s="14">
        <v>746</v>
      </c>
      <c r="AR25" s="14">
        <v>864</v>
      </c>
      <c r="AS25" s="14">
        <v>958</v>
      </c>
      <c r="AT25" s="35">
        <v>434</v>
      </c>
      <c r="AU25" s="18">
        <v>29</v>
      </c>
      <c r="AV25" s="14">
        <v>26</v>
      </c>
      <c r="AW25" s="14">
        <v>30</v>
      </c>
      <c r="AX25" s="14">
        <v>33</v>
      </c>
      <c r="AY25" s="14">
        <v>36</v>
      </c>
      <c r="AZ25" s="14">
        <v>44</v>
      </c>
      <c r="BA25" s="14">
        <v>15</v>
      </c>
      <c r="BB25" s="34">
        <v>0.5172413793103449</v>
      </c>
    </row>
    <row r="26" spans="2:54" ht="15" customHeight="1">
      <c r="B26" s="19" t="s">
        <v>58</v>
      </c>
      <c r="C26" s="20">
        <v>1</v>
      </c>
      <c r="D26" s="20" t="s">
        <v>52</v>
      </c>
      <c r="E26" s="21">
        <v>10</v>
      </c>
      <c r="F26" s="18">
        <v>5</v>
      </c>
      <c r="G26" s="14">
        <v>4</v>
      </c>
      <c r="H26" s="14">
        <v>11</v>
      </c>
      <c r="I26" s="14">
        <v>13</v>
      </c>
      <c r="J26" s="14">
        <v>12</v>
      </c>
      <c r="K26" s="14">
        <v>12</v>
      </c>
      <c r="L26" s="14">
        <v>18</v>
      </c>
      <c r="M26" s="14">
        <v>20</v>
      </c>
      <c r="N26" s="14">
        <v>9</v>
      </c>
      <c r="O26" s="15">
        <v>0.8181818181818182</v>
      </c>
      <c r="P26" s="25">
        <v>1.6</v>
      </c>
      <c r="Q26" s="23">
        <v>2</v>
      </c>
      <c r="R26" s="14">
        <v>3</v>
      </c>
      <c r="S26" s="14">
        <v>4</v>
      </c>
      <c r="T26" s="14">
        <v>4</v>
      </c>
      <c r="U26" s="17">
        <v>2</v>
      </c>
      <c r="V26" s="17">
        <v>2</v>
      </c>
      <c r="W26" s="17">
        <v>2</v>
      </c>
      <c r="X26" s="17">
        <v>2</v>
      </c>
      <c r="Y26" s="14">
        <v>-2</v>
      </c>
      <c r="Z26" s="15">
        <v>1</v>
      </c>
      <c r="AA26" s="25"/>
      <c r="AB26" s="18">
        <v>5</v>
      </c>
      <c r="AC26" s="14">
        <v>6</v>
      </c>
      <c r="AD26" s="14">
        <v>9</v>
      </c>
      <c r="AE26" s="14">
        <v>6</v>
      </c>
      <c r="AF26" s="14">
        <v>38</v>
      </c>
      <c r="AG26" s="14">
        <v>2</v>
      </c>
      <c r="AH26" s="14">
        <v>2</v>
      </c>
      <c r="AI26" s="14">
        <v>3</v>
      </c>
      <c r="AJ26" s="14">
        <v>-6</v>
      </c>
      <c r="AK26" s="15">
        <v>0.2</v>
      </c>
      <c r="AL26" s="34">
        <v>-0.3333333333333333</v>
      </c>
      <c r="AM26" s="18">
        <v>65</v>
      </c>
      <c r="AN26" s="14">
        <v>74</v>
      </c>
      <c r="AO26" s="14">
        <v>98</v>
      </c>
      <c r="AP26" s="14">
        <v>106</v>
      </c>
      <c r="AQ26" s="14">
        <v>129</v>
      </c>
      <c r="AR26" s="14">
        <v>171</v>
      </c>
      <c r="AS26" s="14">
        <v>187</v>
      </c>
      <c r="AT26" s="35">
        <v>113</v>
      </c>
      <c r="AU26" s="18">
        <v>2</v>
      </c>
      <c r="AV26" s="14">
        <v>3</v>
      </c>
      <c r="AW26" s="14">
        <v>4</v>
      </c>
      <c r="AX26" s="14">
        <v>2</v>
      </c>
      <c r="AY26" s="14">
        <v>3</v>
      </c>
      <c r="AZ26" s="14">
        <v>7</v>
      </c>
      <c r="BA26" s="14">
        <v>5</v>
      </c>
      <c r="BB26" s="34">
        <v>2.5</v>
      </c>
    </row>
    <row r="27" spans="2:54" ht="15" customHeight="1">
      <c r="B27" s="19" t="s">
        <v>59</v>
      </c>
      <c r="C27" s="20"/>
      <c r="D27" s="20"/>
      <c r="E27" s="22">
        <v>11</v>
      </c>
      <c r="F27" s="18">
        <v>382</v>
      </c>
      <c r="G27" s="14">
        <v>333</v>
      </c>
      <c r="H27" s="14">
        <v>336</v>
      </c>
      <c r="I27" s="14">
        <v>348</v>
      </c>
      <c r="J27" s="14">
        <v>361</v>
      </c>
      <c r="K27" s="14">
        <v>412</v>
      </c>
      <c r="L27" s="14">
        <v>459</v>
      </c>
      <c r="M27" s="14">
        <v>482</v>
      </c>
      <c r="N27" s="14">
        <v>146</v>
      </c>
      <c r="O27" s="15">
        <v>0.43452380952380953</v>
      </c>
      <c r="P27" s="25">
        <v>-0.08900523560209424</v>
      </c>
      <c r="Q27" s="23">
        <v>253</v>
      </c>
      <c r="R27" s="14">
        <v>188</v>
      </c>
      <c r="S27" s="14">
        <v>161</v>
      </c>
      <c r="T27" s="14">
        <v>149</v>
      </c>
      <c r="U27" s="17">
        <v>135</v>
      </c>
      <c r="V27" s="17">
        <v>129</v>
      </c>
      <c r="W27" s="17">
        <v>127</v>
      </c>
      <c r="X27" s="17">
        <v>126</v>
      </c>
      <c r="Y27" s="14">
        <v>-35</v>
      </c>
      <c r="Z27" s="15">
        <v>-0.41106719367588934</v>
      </c>
      <c r="AA27" s="25"/>
      <c r="AB27" s="18">
        <v>579</v>
      </c>
      <c r="AC27" s="14">
        <v>395</v>
      </c>
      <c r="AD27" s="14">
        <v>314</v>
      </c>
      <c r="AE27" s="14">
        <v>281</v>
      </c>
      <c r="AF27" s="14">
        <v>4</v>
      </c>
      <c r="AG27" s="14">
        <v>231</v>
      </c>
      <c r="AH27" s="14">
        <v>219</v>
      </c>
      <c r="AI27" s="14">
        <v>225</v>
      </c>
      <c r="AJ27" s="14">
        <v>-89</v>
      </c>
      <c r="AK27" s="15">
        <v>-0.5146804835924007</v>
      </c>
      <c r="AL27" s="34">
        <v>-0.10509554140127389</v>
      </c>
      <c r="AM27" s="18">
        <v>1917</v>
      </c>
      <c r="AN27" s="14">
        <v>1882</v>
      </c>
      <c r="AO27" s="14">
        <v>1926</v>
      </c>
      <c r="AP27" s="14">
        <v>1938</v>
      </c>
      <c r="AQ27" s="14">
        <v>2088</v>
      </c>
      <c r="AR27" s="14">
        <v>2258</v>
      </c>
      <c r="AS27" s="14">
        <v>2317</v>
      </c>
      <c r="AT27" s="35">
        <v>435</v>
      </c>
      <c r="AU27" s="18">
        <v>88</v>
      </c>
      <c r="AV27" s="14">
        <v>130</v>
      </c>
      <c r="AW27" s="14">
        <v>132</v>
      </c>
      <c r="AX27" s="14">
        <v>140</v>
      </c>
      <c r="AY27" s="14">
        <v>157</v>
      </c>
      <c r="AZ27" s="14">
        <v>182</v>
      </c>
      <c r="BA27" s="14">
        <v>94</v>
      </c>
      <c r="BB27" s="34">
        <v>1.0681818181818181</v>
      </c>
    </row>
    <row r="28" spans="2:54" ht="15" customHeight="1">
      <c r="B28" s="19" t="s">
        <v>60</v>
      </c>
      <c r="C28" s="20">
        <v>1</v>
      </c>
      <c r="D28" s="20" t="s">
        <v>47</v>
      </c>
      <c r="E28" s="22">
        <v>12</v>
      </c>
      <c r="F28" s="18">
        <v>16</v>
      </c>
      <c r="G28" s="14">
        <v>13</v>
      </c>
      <c r="H28" s="14">
        <v>11</v>
      </c>
      <c r="I28" s="14">
        <v>10</v>
      </c>
      <c r="J28" s="14">
        <v>9</v>
      </c>
      <c r="K28" s="14">
        <v>11</v>
      </c>
      <c r="L28" s="14">
        <v>12</v>
      </c>
      <c r="M28" s="14">
        <v>24</v>
      </c>
      <c r="N28" s="14">
        <v>13</v>
      </c>
      <c r="O28" s="15">
        <v>1.1818181818181819</v>
      </c>
      <c r="P28" s="25">
        <v>-0.375</v>
      </c>
      <c r="Q28" s="23">
        <v>10</v>
      </c>
      <c r="R28" s="14">
        <v>6</v>
      </c>
      <c r="S28" s="14">
        <v>7</v>
      </c>
      <c r="T28" s="14">
        <v>7</v>
      </c>
      <c r="U28" s="17">
        <v>6</v>
      </c>
      <c r="V28" s="17">
        <v>6</v>
      </c>
      <c r="W28" s="17">
        <v>6</v>
      </c>
      <c r="X28" s="17">
        <v>6</v>
      </c>
      <c r="Y28" s="14">
        <v>-1</v>
      </c>
      <c r="Z28" s="15">
        <v>-0.3</v>
      </c>
      <c r="AA28" s="25"/>
      <c r="AB28" s="18">
        <v>20</v>
      </c>
      <c r="AC28" s="14">
        <v>15</v>
      </c>
      <c r="AD28" s="14">
        <v>16</v>
      </c>
      <c r="AE28" s="14">
        <v>15</v>
      </c>
      <c r="AF28" s="14">
        <v>244</v>
      </c>
      <c r="AG28" s="14">
        <v>14</v>
      </c>
      <c r="AH28" s="14">
        <v>11</v>
      </c>
      <c r="AI28" s="14">
        <v>12</v>
      </c>
      <c r="AJ28" s="14">
        <v>-4</v>
      </c>
      <c r="AK28" s="15">
        <v>-0.25</v>
      </c>
      <c r="AL28" s="34">
        <v>-0.0625</v>
      </c>
      <c r="AM28" s="18">
        <v>95</v>
      </c>
      <c r="AN28" s="14">
        <v>98</v>
      </c>
      <c r="AO28" s="14">
        <v>114</v>
      </c>
      <c r="AP28" s="14">
        <v>107</v>
      </c>
      <c r="AQ28" s="14">
        <v>139</v>
      </c>
      <c r="AR28" s="14">
        <v>165</v>
      </c>
      <c r="AS28" s="14">
        <v>151</v>
      </c>
      <c r="AT28" s="35">
        <v>53</v>
      </c>
      <c r="AU28" s="18">
        <v>4</v>
      </c>
      <c r="AV28" s="14">
        <v>5</v>
      </c>
      <c r="AW28" s="14">
        <v>4</v>
      </c>
      <c r="AX28" s="14">
        <v>7</v>
      </c>
      <c r="AY28" s="14">
        <v>7</v>
      </c>
      <c r="AZ28" s="14">
        <v>10</v>
      </c>
      <c r="BA28" s="14">
        <v>6</v>
      </c>
      <c r="BB28" s="34">
        <v>1.5</v>
      </c>
    </row>
    <row r="29" spans="2:54" ht="15" customHeight="1">
      <c r="B29" s="19" t="s">
        <v>61</v>
      </c>
      <c r="C29" s="20">
        <v>1</v>
      </c>
      <c r="D29" s="20" t="s">
        <v>47</v>
      </c>
      <c r="E29" s="21">
        <v>13</v>
      </c>
      <c r="F29" s="18">
        <v>14</v>
      </c>
      <c r="G29" s="14">
        <v>16</v>
      </c>
      <c r="H29" s="14">
        <v>17</v>
      </c>
      <c r="I29" s="14">
        <v>30</v>
      </c>
      <c r="J29" s="14">
        <v>40</v>
      </c>
      <c r="K29" s="14">
        <v>37</v>
      </c>
      <c r="L29" s="14">
        <v>43</v>
      </c>
      <c r="M29" s="14">
        <v>46</v>
      </c>
      <c r="N29" s="14">
        <v>29</v>
      </c>
      <c r="O29" s="15">
        <v>1.7058823529411764</v>
      </c>
      <c r="P29" s="25">
        <v>1.1428571428571428</v>
      </c>
      <c r="Q29" s="23">
        <v>6</v>
      </c>
      <c r="R29" s="14">
        <v>5</v>
      </c>
      <c r="S29" s="14">
        <v>6</v>
      </c>
      <c r="T29" s="14">
        <v>9</v>
      </c>
      <c r="U29" s="17">
        <v>8</v>
      </c>
      <c r="V29" s="17">
        <v>7</v>
      </c>
      <c r="W29" s="17">
        <v>7</v>
      </c>
      <c r="X29" s="17">
        <v>6</v>
      </c>
      <c r="Y29" s="14">
        <v>0</v>
      </c>
      <c r="Z29" s="15">
        <v>0.5</v>
      </c>
      <c r="AA29" s="25"/>
      <c r="AB29" s="18">
        <v>16</v>
      </c>
      <c r="AC29" s="14">
        <v>12</v>
      </c>
      <c r="AD29" s="14">
        <v>10</v>
      </c>
      <c r="AE29" s="14">
        <v>17</v>
      </c>
      <c r="AF29" s="14">
        <v>13</v>
      </c>
      <c r="AG29" s="14">
        <v>14</v>
      </c>
      <c r="AH29" s="14">
        <v>16</v>
      </c>
      <c r="AI29" s="14">
        <v>16</v>
      </c>
      <c r="AJ29" s="14">
        <v>6</v>
      </c>
      <c r="AK29" s="15">
        <v>0.0625</v>
      </c>
      <c r="AL29" s="34">
        <v>0.7</v>
      </c>
      <c r="AM29" s="18">
        <v>96</v>
      </c>
      <c r="AN29" s="14">
        <v>106</v>
      </c>
      <c r="AO29" s="14">
        <v>125</v>
      </c>
      <c r="AP29" s="14">
        <v>128</v>
      </c>
      <c r="AQ29" s="14">
        <v>147</v>
      </c>
      <c r="AR29" s="14">
        <v>146</v>
      </c>
      <c r="AS29" s="14">
        <v>167</v>
      </c>
      <c r="AT29" s="35">
        <v>61</v>
      </c>
      <c r="AU29" s="18">
        <v>20</v>
      </c>
      <c r="AV29" s="14">
        <v>25</v>
      </c>
      <c r="AW29" s="14">
        <v>25</v>
      </c>
      <c r="AX29" s="14">
        <v>23</v>
      </c>
      <c r="AY29" s="14">
        <v>33</v>
      </c>
      <c r="AZ29" s="14">
        <v>34</v>
      </c>
      <c r="BA29" s="14">
        <v>14</v>
      </c>
      <c r="BB29" s="34">
        <v>0.7</v>
      </c>
    </row>
    <row r="30" spans="2:54" ht="15" customHeight="1">
      <c r="B30" s="19" t="s">
        <v>62</v>
      </c>
      <c r="C30" s="20"/>
      <c r="D30" s="20"/>
      <c r="E30" s="22">
        <v>14</v>
      </c>
      <c r="F30" s="18">
        <v>298</v>
      </c>
      <c r="G30" s="14">
        <v>297</v>
      </c>
      <c r="H30" s="14">
        <v>302</v>
      </c>
      <c r="I30" s="14">
        <v>293</v>
      </c>
      <c r="J30" s="14">
        <v>303</v>
      </c>
      <c r="K30" s="14">
        <v>343</v>
      </c>
      <c r="L30" s="14">
        <v>367</v>
      </c>
      <c r="M30" s="14">
        <v>382</v>
      </c>
      <c r="N30" s="14">
        <v>80</v>
      </c>
      <c r="O30" s="15">
        <v>0.26490066225165565</v>
      </c>
      <c r="P30" s="25">
        <v>-0.016778523489932886</v>
      </c>
      <c r="Q30" s="23">
        <v>125</v>
      </c>
      <c r="R30" s="14">
        <v>87</v>
      </c>
      <c r="S30" s="14">
        <v>78</v>
      </c>
      <c r="T30" s="14">
        <v>71</v>
      </c>
      <c r="U30" s="17">
        <v>68</v>
      </c>
      <c r="V30" s="17">
        <v>72</v>
      </c>
      <c r="W30" s="17">
        <v>82</v>
      </c>
      <c r="X30" s="17">
        <v>61</v>
      </c>
      <c r="Y30" s="14">
        <v>-17</v>
      </c>
      <c r="Z30" s="15">
        <v>-0.432</v>
      </c>
      <c r="AA30" s="25"/>
      <c r="AB30" s="18">
        <v>298</v>
      </c>
      <c r="AC30" s="14">
        <v>185</v>
      </c>
      <c r="AD30" s="14">
        <v>153</v>
      </c>
      <c r="AE30" s="14">
        <v>141</v>
      </c>
      <c r="AF30" s="14">
        <v>17</v>
      </c>
      <c r="AG30" s="14">
        <v>145</v>
      </c>
      <c r="AH30" s="14">
        <v>168</v>
      </c>
      <c r="AI30" s="14">
        <v>130</v>
      </c>
      <c r="AJ30" s="14">
        <v>-23</v>
      </c>
      <c r="AK30" s="15">
        <v>-0.5268456375838926</v>
      </c>
      <c r="AL30" s="34">
        <v>-0.0784313725490196</v>
      </c>
      <c r="AM30" s="18">
        <v>1182</v>
      </c>
      <c r="AN30" s="14">
        <v>1225</v>
      </c>
      <c r="AO30" s="14">
        <v>1331</v>
      </c>
      <c r="AP30" s="14">
        <v>1395</v>
      </c>
      <c r="AQ30" s="14">
        <v>1574</v>
      </c>
      <c r="AR30" s="14">
        <v>1702</v>
      </c>
      <c r="AS30" s="14">
        <v>1799</v>
      </c>
      <c r="AT30" s="35">
        <v>574</v>
      </c>
      <c r="AU30" s="18">
        <v>78</v>
      </c>
      <c r="AV30" s="14">
        <v>87</v>
      </c>
      <c r="AW30" s="14">
        <v>99</v>
      </c>
      <c r="AX30" s="14">
        <v>125</v>
      </c>
      <c r="AY30" s="14">
        <v>127</v>
      </c>
      <c r="AZ30" s="14">
        <v>129</v>
      </c>
      <c r="BA30" s="14">
        <v>51</v>
      </c>
      <c r="BB30" s="34">
        <v>0.6538461538461539</v>
      </c>
    </row>
    <row r="31" spans="2:54" ht="15" customHeight="1">
      <c r="B31" s="19" t="s">
        <v>64</v>
      </c>
      <c r="C31" s="20" t="s">
        <v>63</v>
      </c>
      <c r="D31" s="20"/>
      <c r="E31" s="22">
        <v>15</v>
      </c>
      <c r="F31" s="18">
        <v>10080</v>
      </c>
      <c r="G31" s="14">
        <v>9190</v>
      </c>
      <c r="H31" s="14">
        <v>8292</v>
      </c>
      <c r="I31" s="14">
        <v>7809</v>
      </c>
      <c r="J31" s="14">
        <v>8207</v>
      </c>
      <c r="K31" s="14">
        <v>8874</v>
      </c>
      <c r="L31" s="14">
        <v>9633</v>
      </c>
      <c r="M31" s="14">
        <v>9837</v>
      </c>
      <c r="N31" s="14">
        <v>1545</v>
      </c>
      <c r="O31" s="15">
        <v>0.18632416787264833</v>
      </c>
      <c r="P31" s="25">
        <v>-0.22529761904761905</v>
      </c>
      <c r="Q31" s="23">
        <v>6045</v>
      </c>
      <c r="R31" s="14">
        <v>4264</v>
      </c>
      <c r="S31" s="14">
        <v>3086</v>
      </c>
      <c r="T31" s="14">
        <v>2664</v>
      </c>
      <c r="U31" s="17">
        <v>2468</v>
      </c>
      <c r="V31" s="17">
        <v>2328</v>
      </c>
      <c r="W31" s="17">
        <v>2363</v>
      </c>
      <c r="X31" s="17">
        <v>2274</v>
      </c>
      <c r="Y31" s="14">
        <v>-812</v>
      </c>
      <c r="Z31" s="15">
        <v>-0.5593052109181141</v>
      </c>
      <c r="AA31" s="25"/>
      <c r="AB31" s="18">
        <v>17154</v>
      </c>
      <c r="AC31" s="14">
        <v>11547</v>
      </c>
      <c r="AD31" s="14">
        <v>7833</v>
      </c>
      <c r="AE31" s="14">
        <v>6518</v>
      </c>
      <c r="AF31" s="14">
        <v>140</v>
      </c>
      <c r="AG31" s="14">
        <v>5280</v>
      </c>
      <c r="AH31" s="14">
        <v>5122</v>
      </c>
      <c r="AI31" s="14">
        <v>4787</v>
      </c>
      <c r="AJ31" s="14">
        <v>-3046</v>
      </c>
      <c r="AK31" s="15">
        <v>-0.6200303136294741</v>
      </c>
      <c r="AL31" s="34">
        <v>-0.16787948423337162</v>
      </c>
      <c r="AM31" s="18">
        <v>32577</v>
      </c>
      <c r="AN31" s="14">
        <v>33101</v>
      </c>
      <c r="AO31" s="14">
        <v>33480</v>
      </c>
      <c r="AP31" s="14">
        <v>33079</v>
      </c>
      <c r="AQ31" s="14">
        <v>34718</v>
      </c>
      <c r="AR31" s="14">
        <v>36187</v>
      </c>
      <c r="AS31" s="14">
        <v>36606</v>
      </c>
      <c r="AT31" s="35">
        <v>3505</v>
      </c>
      <c r="AU31" s="18">
        <v>1647</v>
      </c>
      <c r="AV31" s="14">
        <v>1853</v>
      </c>
      <c r="AW31" s="14">
        <v>2082</v>
      </c>
      <c r="AX31" s="14">
        <v>2458</v>
      </c>
      <c r="AY31" s="14">
        <v>2763</v>
      </c>
      <c r="AZ31" s="14">
        <v>2866</v>
      </c>
      <c r="BA31" s="14">
        <v>1219</v>
      </c>
      <c r="BB31" s="34">
        <v>0.74013357619915</v>
      </c>
    </row>
    <row r="32" spans="2:54" ht="15" customHeight="1">
      <c r="B32" s="19" t="s">
        <v>65</v>
      </c>
      <c r="C32" s="20">
        <v>1</v>
      </c>
      <c r="D32" s="20" t="s">
        <v>52</v>
      </c>
      <c r="E32" s="21">
        <v>16</v>
      </c>
      <c r="F32" s="18"/>
      <c r="G32" s="14"/>
      <c r="H32" s="14"/>
      <c r="I32" s="14"/>
      <c r="J32" s="14">
        <v>3</v>
      </c>
      <c r="K32" s="14">
        <v>2</v>
      </c>
      <c r="L32" s="14">
        <v>2</v>
      </c>
      <c r="M32" s="14">
        <v>3</v>
      </c>
      <c r="N32" s="14"/>
      <c r="O32" s="15"/>
      <c r="P32" s="25"/>
      <c r="Q32" s="23"/>
      <c r="R32" s="14"/>
      <c r="S32" s="14"/>
      <c r="T32" s="14"/>
      <c r="U32" s="17">
        <v>0</v>
      </c>
      <c r="V32" s="17">
        <v>0</v>
      </c>
      <c r="W32" s="17">
        <v>1</v>
      </c>
      <c r="X32" s="17">
        <v>0</v>
      </c>
      <c r="Y32" s="14"/>
      <c r="Z32" s="15"/>
      <c r="AA32" s="25"/>
      <c r="AB32" s="18">
        <v>2103</v>
      </c>
      <c r="AC32" s="14">
        <v>1238</v>
      </c>
      <c r="AD32" s="14">
        <v>1135</v>
      </c>
      <c r="AE32" s="14">
        <v>1182</v>
      </c>
      <c r="AF32" s="14">
        <v>5816</v>
      </c>
      <c r="AG32" s="14">
        <v>0</v>
      </c>
      <c r="AH32" s="14">
        <v>2</v>
      </c>
      <c r="AI32" s="14">
        <v>0</v>
      </c>
      <c r="AJ32" s="14">
        <v>-1135</v>
      </c>
      <c r="AK32" s="15">
        <v>-0.43794579172610554</v>
      </c>
      <c r="AL32" s="34">
        <v>0.04140969162995595</v>
      </c>
      <c r="AM32" s="18">
        <v>16</v>
      </c>
      <c r="AN32" s="14">
        <v>20</v>
      </c>
      <c r="AO32" s="14">
        <v>22</v>
      </c>
      <c r="AP32" s="14">
        <v>20</v>
      </c>
      <c r="AQ32" s="14">
        <v>27</v>
      </c>
      <c r="AR32" s="14">
        <v>34</v>
      </c>
      <c r="AS32" s="14">
        <v>44</v>
      </c>
      <c r="AT32" s="35">
        <v>24</v>
      </c>
      <c r="AU32" s="18">
        <v>5</v>
      </c>
      <c r="AV32" s="14">
        <v>8</v>
      </c>
      <c r="AW32" s="14">
        <v>6</v>
      </c>
      <c r="AX32" s="14">
        <v>3</v>
      </c>
      <c r="AY32" s="14">
        <v>1</v>
      </c>
      <c r="AZ32" s="14">
        <v>0</v>
      </c>
      <c r="BA32" s="14">
        <v>-5</v>
      </c>
      <c r="BB32" s="34">
        <v>-1</v>
      </c>
    </row>
    <row r="33" spans="2:54" ht="15" customHeight="1">
      <c r="B33" s="19" t="s">
        <v>66</v>
      </c>
      <c r="C33" s="20" t="s">
        <v>63</v>
      </c>
      <c r="D33" s="20"/>
      <c r="E33" s="22">
        <v>17</v>
      </c>
      <c r="F33" s="18">
        <v>1388</v>
      </c>
      <c r="G33" s="14">
        <v>1310</v>
      </c>
      <c r="H33" s="14">
        <v>1347</v>
      </c>
      <c r="I33" s="14">
        <v>1331</v>
      </c>
      <c r="J33" s="14">
        <v>1383</v>
      </c>
      <c r="K33" s="14">
        <v>1479</v>
      </c>
      <c r="L33" s="14">
        <v>1610</v>
      </c>
      <c r="M33" s="14">
        <v>1773</v>
      </c>
      <c r="N33" s="14">
        <v>426</v>
      </c>
      <c r="O33" s="15">
        <v>0.31625835189309576</v>
      </c>
      <c r="P33" s="25">
        <v>-0.04106628242074928</v>
      </c>
      <c r="Q33" s="23">
        <v>734</v>
      </c>
      <c r="R33" s="14">
        <v>462</v>
      </c>
      <c r="S33" s="14">
        <v>429</v>
      </c>
      <c r="T33" s="14">
        <v>440</v>
      </c>
      <c r="U33" s="17">
        <v>425</v>
      </c>
      <c r="V33" s="17">
        <v>400</v>
      </c>
      <c r="W33" s="17">
        <v>427</v>
      </c>
      <c r="X33" s="17">
        <v>441</v>
      </c>
      <c r="Y33" s="14">
        <v>12</v>
      </c>
      <c r="Z33" s="15">
        <v>-0.40054495912806537</v>
      </c>
      <c r="AA33" s="25"/>
      <c r="AB33" s="18">
        <v>1966</v>
      </c>
      <c r="AC33" s="14">
        <v>1150</v>
      </c>
      <c r="AD33" s="14">
        <v>1065</v>
      </c>
      <c r="AE33" s="14">
        <v>1110</v>
      </c>
      <c r="AF33" s="14">
        <v>0</v>
      </c>
      <c r="AG33" s="14">
        <v>948</v>
      </c>
      <c r="AH33" s="14">
        <v>998</v>
      </c>
      <c r="AI33" s="14">
        <v>1019</v>
      </c>
      <c r="AJ33" s="14">
        <v>-46</v>
      </c>
      <c r="AK33" s="15">
        <v>-0.43540183112919634</v>
      </c>
      <c r="AL33" s="34">
        <v>0.04225352112676056</v>
      </c>
      <c r="AM33" s="18">
        <v>5233</v>
      </c>
      <c r="AN33" s="14">
        <v>5368</v>
      </c>
      <c r="AO33" s="14">
        <v>5554</v>
      </c>
      <c r="AP33" s="14">
        <v>5804</v>
      </c>
      <c r="AQ33" s="14">
        <v>6651</v>
      </c>
      <c r="AR33" s="14">
        <v>7150</v>
      </c>
      <c r="AS33" s="14">
        <v>7208</v>
      </c>
      <c r="AT33" s="35">
        <v>1840</v>
      </c>
      <c r="AU33" s="18">
        <v>288</v>
      </c>
      <c r="AV33" s="14">
        <v>391</v>
      </c>
      <c r="AW33" s="14">
        <v>448</v>
      </c>
      <c r="AX33" s="14">
        <v>512</v>
      </c>
      <c r="AY33" s="14">
        <v>481</v>
      </c>
      <c r="AZ33" s="14">
        <v>518</v>
      </c>
      <c r="BA33" s="14">
        <v>230</v>
      </c>
      <c r="BB33" s="34">
        <v>0.7986111111111112</v>
      </c>
    </row>
    <row r="34" spans="2:54" ht="15" customHeight="1">
      <c r="B34" s="19" t="s">
        <v>67</v>
      </c>
      <c r="C34" s="20"/>
      <c r="D34" s="20"/>
      <c r="E34" s="22">
        <v>18</v>
      </c>
      <c r="F34" s="18">
        <v>36</v>
      </c>
      <c r="G34" s="14">
        <v>35</v>
      </c>
      <c r="H34" s="14">
        <v>42</v>
      </c>
      <c r="I34" s="14">
        <v>35</v>
      </c>
      <c r="J34" s="14">
        <v>37</v>
      </c>
      <c r="K34" s="14">
        <v>35</v>
      </c>
      <c r="L34" s="14">
        <v>43</v>
      </c>
      <c r="M34" s="14">
        <v>53</v>
      </c>
      <c r="N34" s="14">
        <v>11</v>
      </c>
      <c r="O34" s="15">
        <v>0.2619047619047619</v>
      </c>
      <c r="P34" s="25">
        <v>-0.027777777777777776</v>
      </c>
      <c r="Q34" s="23">
        <v>22</v>
      </c>
      <c r="R34" s="14">
        <v>12</v>
      </c>
      <c r="S34" s="14">
        <v>11</v>
      </c>
      <c r="T34" s="14">
        <v>11</v>
      </c>
      <c r="U34" s="17">
        <v>12</v>
      </c>
      <c r="V34" s="17">
        <v>12</v>
      </c>
      <c r="W34" s="17">
        <v>11</v>
      </c>
      <c r="X34" s="17">
        <v>7</v>
      </c>
      <c r="Y34" s="14">
        <v>-4</v>
      </c>
      <c r="Z34" s="15">
        <v>-0.5</v>
      </c>
      <c r="AA34" s="25"/>
      <c r="AB34" s="18">
        <v>43</v>
      </c>
      <c r="AC34" s="14">
        <v>22</v>
      </c>
      <c r="AD34" s="14">
        <v>19</v>
      </c>
      <c r="AE34" s="14">
        <v>21</v>
      </c>
      <c r="AF34" s="14">
        <v>1032</v>
      </c>
      <c r="AG34" s="14">
        <v>27</v>
      </c>
      <c r="AH34" s="14">
        <v>20</v>
      </c>
      <c r="AI34" s="14">
        <v>12</v>
      </c>
      <c r="AJ34" s="14">
        <v>-7</v>
      </c>
      <c r="AK34" s="15">
        <v>-0.5116279069767442</v>
      </c>
      <c r="AL34" s="34">
        <v>0.10526315789473684</v>
      </c>
      <c r="AM34" s="18">
        <v>246</v>
      </c>
      <c r="AN34" s="14">
        <v>273</v>
      </c>
      <c r="AO34" s="14">
        <v>303</v>
      </c>
      <c r="AP34" s="14">
        <v>300</v>
      </c>
      <c r="AQ34" s="14">
        <v>368</v>
      </c>
      <c r="AR34" s="14">
        <v>433</v>
      </c>
      <c r="AS34" s="14">
        <v>442</v>
      </c>
      <c r="AT34" s="35">
        <v>169</v>
      </c>
      <c r="AU34" s="18">
        <v>14</v>
      </c>
      <c r="AV34" s="14">
        <v>12</v>
      </c>
      <c r="AW34" s="14">
        <v>15</v>
      </c>
      <c r="AX34" s="14">
        <v>20</v>
      </c>
      <c r="AY34" s="14">
        <v>22</v>
      </c>
      <c r="AZ34" s="14">
        <v>26</v>
      </c>
      <c r="BA34" s="14">
        <v>12</v>
      </c>
      <c r="BB34" s="34">
        <v>0.8571428571428571</v>
      </c>
    </row>
    <row r="35" spans="2:54" ht="15" customHeight="1">
      <c r="B35" s="19" t="s">
        <v>68</v>
      </c>
      <c r="C35" s="20">
        <v>1</v>
      </c>
      <c r="D35" s="20" t="s">
        <v>47</v>
      </c>
      <c r="E35" s="21">
        <v>19</v>
      </c>
      <c r="F35" s="18">
        <v>58</v>
      </c>
      <c r="G35" s="14">
        <v>56</v>
      </c>
      <c r="H35" s="14">
        <v>53</v>
      </c>
      <c r="I35" s="14">
        <v>46</v>
      </c>
      <c r="J35" s="14">
        <v>43</v>
      </c>
      <c r="K35" s="14">
        <v>44</v>
      </c>
      <c r="L35" s="14">
        <v>60</v>
      </c>
      <c r="M35" s="14">
        <v>61</v>
      </c>
      <c r="N35" s="14">
        <v>8</v>
      </c>
      <c r="O35" s="15">
        <v>0.1509433962264151</v>
      </c>
      <c r="P35" s="25">
        <v>-0.20689655172413793</v>
      </c>
      <c r="Q35" s="23">
        <v>24</v>
      </c>
      <c r="R35" s="14">
        <v>19</v>
      </c>
      <c r="S35" s="14">
        <v>16</v>
      </c>
      <c r="T35" s="14">
        <v>16</v>
      </c>
      <c r="U35" s="17">
        <v>10</v>
      </c>
      <c r="V35" s="17">
        <v>9</v>
      </c>
      <c r="W35" s="17">
        <v>14</v>
      </c>
      <c r="X35" s="17">
        <v>13</v>
      </c>
      <c r="Y35" s="14">
        <v>-3</v>
      </c>
      <c r="Z35" s="15">
        <v>-0.3333333333333333</v>
      </c>
      <c r="AA35" s="25"/>
      <c r="AB35" s="18">
        <v>68</v>
      </c>
      <c r="AC35" s="14">
        <v>54</v>
      </c>
      <c r="AD35" s="14">
        <v>42</v>
      </c>
      <c r="AE35" s="14">
        <v>44</v>
      </c>
      <c r="AF35" s="14">
        <v>22</v>
      </c>
      <c r="AG35" s="14">
        <v>18</v>
      </c>
      <c r="AH35" s="14">
        <v>34</v>
      </c>
      <c r="AI35" s="14">
        <v>27</v>
      </c>
      <c r="AJ35" s="14">
        <v>-15</v>
      </c>
      <c r="AK35" s="15">
        <v>-0.35294117647058826</v>
      </c>
      <c r="AL35" s="34">
        <v>0.047619047619047616</v>
      </c>
      <c r="AM35" s="18">
        <v>351</v>
      </c>
      <c r="AN35" s="14">
        <v>384</v>
      </c>
      <c r="AO35" s="14">
        <v>408</v>
      </c>
      <c r="AP35" s="14">
        <v>413</v>
      </c>
      <c r="AQ35" s="14">
        <v>466</v>
      </c>
      <c r="AR35" s="14">
        <v>501</v>
      </c>
      <c r="AS35" s="14">
        <v>517</v>
      </c>
      <c r="AT35" s="35">
        <v>133</v>
      </c>
      <c r="AU35" s="18">
        <v>9</v>
      </c>
      <c r="AV35" s="14">
        <v>9</v>
      </c>
      <c r="AW35" s="14">
        <v>11</v>
      </c>
      <c r="AX35" s="14">
        <v>17</v>
      </c>
      <c r="AY35" s="14">
        <v>18</v>
      </c>
      <c r="AZ35" s="14">
        <v>26</v>
      </c>
      <c r="BA35" s="14">
        <v>17</v>
      </c>
      <c r="BB35" s="34">
        <v>1.8888888888888888</v>
      </c>
    </row>
    <row r="36" spans="2:54" ht="15" customHeight="1">
      <c r="B36" s="19" t="s">
        <v>69</v>
      </c>
      <c r="C36" s="20"/>
      <c r="D36" s="20"/>
      <c r="E36" s="22">
        <v>20</v>
      </c>
      <c r="F36" s="18">
        <v>14</v>
      </c>
      <c r="G36" s="14">
        <v>15</v>
      </c>
      <c r="H36" s="14">
        <v>17</v>
      </c>
      <c r="I36" s="14">
        <v>17</v>
      </c>
      <c r="J36" s="14">
        <v>22</v>
      </c>
      <c r="K36" s="14">
        <v>25</v>
      </c>
      <c r="L36" s="14">
        <v>31</v>
      </c>
      <c r="M36" s="14">
        <v>29</v>
      </c>
      <c r="N36" s="14">
        <v>12</v>
      </c>
      <c r="O36" s="15">
        <v>0.7058823529411765</v>
      </c>
      <c r="P36" s="25">
        <v>0.21428571428571427</v>
      </c>
      <c r="Q36" s="23">
        <v>11</v>
      </c>
      <c r="R36" s="14">
        <v>5</v>
      </c>
      <c r="S36" s="14">
        <v>5</v>
      </c>
      <c r="T36" s="14">
        <v>5</v>
      </c>
      <c r="U36" s="17">
        <v>6</v>
      </c>
      <c r="V36" s="17">
        <v>8</v>
      </c>
      <c r="W36" s="17">
        <v>11</v>
      </c>
      <c r="X36" s="17">
        <v>10</v>
      </c>
      <c r="Y36" s="14">
        <v>5</v>
      </c>
      <c r="Z36" s="15">
        <v>-0.5454545454545454</v>
      </c>
      <c r="AA36" s="25"/>
      <c r="AB36" s="18">
        <v>26</v>
      </c>
      <c r="AC36" s="14">
        <v>12</v>
      </c>
      <c r="AD36" s="14">
        <v>9</v>
      </c>
      <c r="AE36" s="14">
        <v>7</v>
      </c>
      <c r="AF36" s="14">
        <v>24</v>
      </c>
      <c r="AG36" s="14">
        <v>20</v>
      </c>
      <c r="AH36" s="14">
        <v>29</v>
      </c>
      <c r="AI36" s="14">
        <v>23</v>
      </c>
      <c r="AJ36" s="14">
        <v>14</v>
      </c>
      <c r="AK36" s="15">
        <v>-0.7307692307692307</v>
      </c>
      <c r="AL36" s="34">
        <v>-0.2222222222222222</v>
      </c>
      <c r="AM36" s="18">
        <v>103</v>
      </c>
      <c r="AN36" s="14">
        <v>108</v>
      </c>
      <c r="AO36" s="14">
        <v>127</v>
      </c>
      <c r="AP36" s="14">
        <v>144</v>
      </c>
      <c r="AQ36" s="14">
        <v>188</v>
      </c>
      <c r="AR36" s="14">
        <v>247</v>
      </c>
      <c r="AS36" s="14">
        <v>272</v>
      </c>
      <c r="AT36" s="35">
        <v>164</v>
      </c>
      <c r="AU36" s="18">
        <v>5</v>
      </c>
      <c r="AV36" s="14">
        <v>9</v>
      </c>
      <c r="AW36" s="14">
        <v>12</v>
      </c>
      <c r="AX36" s="14">
        <v>12</v>
      </c>
      <c r="AY36" s="14">
        <v>10</v>
      </c>
      <c r="AZ36" s="14">
        <v>15</v>
      </c>
      <c r="BA36" s="14">
        <v>10</v>
      </c>
      <c r="BB36" s="34">
        <v>2</v>
      </c>
    </row>
    <row r="37" spans="2:54" ht="15" customHeight="1">
      <c r="B37" s="19" t="s">
        <v>70</v>
      </c>
      <c r="C37" s="20">
        <v>1</v>
      </c>
      <c r="D37" s="20" t="s">
        <v>52</v>
      </c>
      <c r="E37" s="22">
        <v>21</v>
      </c>
      <c r="F37" s="18"/>
      <c r="G37" s="14"/>
      <c r="H37" s="14"/>
      <c r="I37" s="14"/>
      <c r="J37" s="14">
        <v>23</v>
      </c>
      <c r="K37" s="14">
        <v>9.933</v>
      </c>
      <c r="L37" s="14">
        <v>18</v>
      </c>
      <c r="M37" s="14">
        <v>17</v>
      </c>
      <c r="N37" s="14"/>
      <c r="O37" s="15"/>
      <c r="P37" s="25"/>
      <c r="Q37" s="23"/>
      <c r="R37" s="14"/>
      <c r="S37" s="14"/>
      <c r="T37" s="14"/>
      <c r="U37" s="17">
        <v>3</v>
      </c>
      <c r="V37" s="17">
        <v>2.31</v>
      </c>
      <c r="W37" s="17">
        <v>2</v>
      </c>
      <c r="X37" s="17">
        <v>0</v>
      </c>
      <c r="Y37" s="14"/>
      <c r="Z37" s="15"/>
      <c r="AA37" s="25"/>
      <c r="AB37" s="18">
        <v>178</v>
      </c>
      <c r="AC37" s="14">
        <v>115</v>
      </c>
      <c r="AD37" s="14">
        <v>74</v>
      </c>
      <c r="AE37" s="14">
        <v>54</v>
      </c>
      <c r="AF37" s="14">
        <v>13</v>
      </c>
      <c r="AG37" s="14">
        <v>4.389</v>
      </c>
      <c r="AH37" s="14">
        <v>3</v>
      </c>
      <c r="AI37" s="14">
        <v>4</v>
      </c>
      <c r="AJ37" s="14">
        <v>-70</v>
      </c>
      <c r="AK37" s="15">
        <v>-0.6966292134831461</v>
      </c>
      <c r="AL37" s="34">
        <v>-0.2702702702702703</v>
      </c>
      <c r="AM37" s="18">
        <v>94</v>
      </c>
      <c r="AN37" s="14">
        <v>117</v>
      </c>
      <c r="AO37" s="14">
        <v>88</v>
      </c>
      <c r="AP37" s="14">
        <v>72</v>
      </c>
      <c r="AQ37" s="14">
        <v>191</v>
      </c>
      <c r="AR37" s="14">
        <v>112.88</v>
      </c>
      <c r="AS37" s="14">
        <v>185</v>
      </c>
      <c r="AT37" s="35">
        <v>68</v>
      </c>
      <c r="AU37" s="18">
        <v>2</v>
      </c>
      <c r="AV37" s="14">
        <v>2</v>
      </c>
      <c r="AW37" s="14">
        <v>4</v>
      </c>
      <c r="AX37" s="14">
        <v>3</v>
      </c>
      <c r="AY37" s="14">
        <v>3</v>
      </c>
      <c r="AZ37" s="14">
        <v>2</v>
      </c>
      <c r="BA37" s="14">
        <v>0</v>
      </c>
      <c r="BB37" s="34">
        <v>0</v>
      </c>
    </row>
    <row r="38" spans="2:54" ht="15" customHeight="1">
      <c r="B38" s="19" t="s">
        <v>71</v>
      </c>
      <c r="C38" s="20">
        <v>1</v>
      </c>
      <c r="D38" s="20" t="s">
        <v>47</v>
      </c>
      <c r="E38" s="21">
        <v>22</v>
      </c>
      <c r="F38" s="18">
        <v>39</v>
      </c>
      <c r="G38" s="14">
        <v>44</v>
      </c>
      <c r="H38" s="14">
        <v>40</v>
      </c>
      <c r="I38" s="14">
        <v>42</v>
      </c>
      <c r="J38" s="14">
        <v>43</v>
      </c>
      <c r="K38" s="14">
        <v>42</v>
      </c>
      <c r="L38" s="14">
        <v>49</v>
      </c>
      <c r="M38" s="14">
        <v>44</v>
      </c>
      <c r="N38" s="14">
        <v>4</v>
      </c>
      <c r="O38" s="15">
        <v>0.1</v>
      </c>
      <c r="P38" s="25">
        <v>0.07692307692307693</v>
      </c>
      <c r="Q38" s="23">
        <v>16</v>
      </c>
      <c r="R38" s="14">
        <v>17</v>
      </c>
      <c r="S38" s="14">
        <v>11</v>
      </c>
      <c r="T38" s="14">
        <v>9</v>
      </c>
      <c r="U38" s="17">
        <v>14</v>
      </c>
      <c r="V38" s="17">
        <v>15</v>
      </c>
      <c r="W38" s="17">
        <v>13</v>
      </c>
      <c r="X38" s="17">
        <v>10</v>
      </c>
      <c r="Y38" s="14">
        <v>-1</v>
      </c>
      <c r="Z38" s="15">
        <v>-0.4375</v>
      </c>
      <c r="AA38" s="25"/>
      <c r="AB38" s="18">
        <v>38</v>
      </c>
      <c r="AC38" s="14">
        <v>39</v>
      </c>
      <c r="AD38" s="14">
        <v>28</v>
      </c>
      <c r="AE38" s="14">
        <v>17</v>
      </c>
      <c r="AF38" s="14">
        <v>6</v>
      </c>
      <c r="AG38" s="14">
        <v>25</v>
      </c>
      <c r="AH38" s="14">
        <v>21</v>
      </c>
      <c r="AI38" s="14">
        <v>18</v>
      </c>
      <c r="AJ38" s="14">
        <v>-10</v>
      </c>
      <c r="AK38" s="15">
        <v>-0.5526315789473685</v>
      </c>
      <c r="AL38" s="34">
        <v>-0.39285714285714285</v>
      </c>
      <c r="AM38" s="18">
        <v>221</v>
      </c>
      <c r="AN38" s="14">
        <v>219</v>
      </c>
      <c r="AO38" s="14">
        <v>251</v>
      </c>
      <c r="AP38" s="14">
        <v>279</v>
      </c>
      <c r="AQ38" s="14">
        <v>339</v>
      </c>
      <c r="AR38" s="14">
        <v>385</v>
      </c>
      <c r="AS38" s="14">
        <v>372</v>
      </c>
      <c r="AT38" s="35">
        <v>153</v>
      </c>
      <c r="AU38" s="18">
        <v>5</v>
      </c>
      <c r="AV38" s="14">
        <v>5</v>
      </c>
      <c r="AW38" s="14">
        <v>10</v>
      </c>
      <c r="AX38" s="14">
        <v>9</v>
      </c>
      <c r="AY38" s="14">
        <v>14</v>
      </c>
      <c r="AZ38" s="14">
        <v>15</v>
      </c>
      <c r="BA38" s="14">
        <v>10</v>
      </c>
      <c r="BB38" s="34">
        <v>2</v>
      </c>
    </row>
    <row r="39" spans="2:54" ht="15" customHeight="1">
      <c r="B39" s="19" t="s">
        <v>72</v>
      </c>
      <c r="C39" s="20"/>
      <c r="D39" s="20"/>
      <c r="E39" s="22">
        <v>23</v>
      </c>
      <c r="F39" s="18">
        <v>31</v>
      </c>
      <c r="G39" s="14">
        <v>24</v>
      </c>
      <c r="H39" s="14">
        <v>24</v>
      </c>
      <c r="I39" s="14">
        <v>27</v>
      </c>
      <c r="J39" s="14">
        <v>33</v>
      </c>
      <c r="K39" s="14">
        <v>32</v>
      </c>
      <c r="L39" s="14">
        <v>42</v>
      </c>
      <c r="M39" s="14">
        <v>48</v>
      </c>
      <c r="N39" s="14">
        <v>24</v>
      </c>
      <c r="O39" s="15">
        <v>1</v>
      </c>
      <c r="P39" s="25">
        <v>-0.12903225806451613</v>
      </c>
      <c r="Q39" s="23">
        <v>17</v>
      </c>
      <c r="R39" s="14">
        <v>7</v>
      </c>
      <c r="S39" s="14">
        <v>5</v>
      </c>
      <c r="T39" s="14">
        <v>6</v>
      </c>
      <c r="U39" s="17">
        <v>6</v>
      </c>
      <c r="V39" s="17">
        <v>6</v>
      </c>
      <c r="W39" s="17">
        <v>8</v>
      </c>
      <c r="X39" s="17">
        <v>8</v>
      </c>
      <c r="Y39" s="14">
        <v>3</v>
      </c>
      <c r="Z39" s="15">
        <v>-0.6470588235294118</v>
      </c>
      <c r="AA39" s="25"/>
      <c r="AB39" s="18">
        <v>46</v>
      </c>
      <c r="AC39" s="14">
        <v>16</v>
      </c>
      <c r="AD39" s="14">
        <v>10</v>
      </c>
      <c r="AE39" s="14">
        <v>9</v>
      </c>
      <c r="AF39" s="14">
        <v>24</v>
      </c>
      <c r="AG39" s="14">
        <v>12</v>
      </c>
      <c r="AH39" s="14">
        <v>17</v>
      </c>
      <c r="AI39" s="14">
        <v>15</v>
      </c>
      <c r="AJ39" s="14">
        <v>5</v>
      </c>
      <c r="AK39" s="15">
        <v>-0.8043478260869565</v>
      </c>
      <c r="AL39" s="34">
        <v>-0.1</v>
      </c>
      <c r="AM39" s="18">
        <v>226</v>
      </c>
      <c r="AN39" s="14">
        <v>214</v>
      </c>
      <c r="AO39" s="14">
        <v>254</v>
      </c>
      <c r="AP39" s="14">
        <v>275</v>
      </c>
      <c r="AQ39" s="14">
        <v>284</v>
      </c>
      <c r="AR39" s="14">
        <v>331</v>
      </c>
      <c r="AS39" s="14">
        <v>365</v>
      </c>
      <c r="AT39" s="35">
        <v>151</v>
      </c>
      <c r="AU39" s="18">
        <v>4</v>
      </c>
      <c r="AV39" s="14">
        <v>8</v>
      </c>
      <c r="AW39" s="14">
        <v>12</v>
      </c>
      <c r="AX39" s="14">
        <v>14</v>
      </c>
      <c r="AY39" s="14">
        <v>14</v>
      </c>
      <c r="AZ39" s="14">
        <v>16</v>
      </c>
      <c r="BA39" s="14">
        <v>12</v>
      </c>
      <c r="BB39" s="34">
        <v>3</v>
      </c>
    </row>
    <row r="40" spans="2:54" ht="15" customHeight="1">
      <c r="B40" s="19" t="s">
        <v>73</v>
      </c>
      <c r="C40" s="20">
        <v>1</v>
      </c>
      <c r="D40" s="20" t="s">
        <v>47</v>
      </c>
      <c r="E40" s="22">
        <v>24</v>
      </c>
      <c r="F40" s="18">
        <v>13</v>
      </c>
      <c r="G40" s="14">
        <v>13</v>
      </c>
      <c r="H40" s="14">
        <v>9</v>
      </c>
      <c r="I40" s="14">
        <v>8</v>
      </c>
      <c r="J40" s="14">
        <v>15</v>
      </c>
      <c r="K40" s="14">
        <v>19</v>
      </c>
      <c r="L40" s="14">
        <v>24</v>
      </c>
      <c r="M40" s="14">
        <v>28</v>
      </c>
      <c r="N40" s="14">
        <v>19</v>
      </c>
      <c r="O40" s="15">
        <v>2.111111111111111</v>
      </c>
      <c r="P40" s="25">
        <v>-0.38461538461538464</v>
      </c>
      <c r="Q40" s="23">
        <v>10</v>
      </c>
      <c r="R40" s="14">
        <v>6</v>
      </c>
      <c r="S40" s="14">
        <v>6</v>
      </c>
      <c r="T40" s="14">
        <v>5</v>
      </c>
      <c r="U40" s="17">
        <v>7</v>
      </c>
      <c r="V40" s="17">
        <v>10</v>
      </c>
      <c r="W40" s="17">
        <v>10</v>
      </c>
      <c r="X40" s="17">
        <v>9</v>
      </c>
      <c r="Y40" s="14">
        <v>3</v>
      </c>
      <c r="Z40" s="15">
        <v>-0.5</v>
      </c>
      <c r="AA40" s="25"/>
      <c r="AB40" s="18">
        <v>23</v>
      </c>
      <c r="AC40" s="14">
        <v>12</v>
      </c>
      <c r="AD40" s="14">
        <v>10</v>
      </c>
      <c r="AE40" s="14">
        <v>7</v>
      </c>
      <c r="AF40" s="14">
        <v>10</v>
      </c>
      <c r="AG40" s="14">
        <v>21</v>
      </c>
      <c r="AH40" s="14">
        <v>21</v>
      </c>
      <c r="AI40" s="14">
        <v>16</v>
      </c>
      <c r="AJ40" s="14">
        <v>6</v>
      </c>
      <c r="AK40" s="15">
        <v>-0.6956521739130435</v>
      </c>
      <c r="AL40" s="34">
        <v>-0.3</v>
      </c>
      <c r="AM40" s="18">
        <v>65</v>
      </c>
      <c r="AN40" s="14">
        <v>60</v>
      </c>
      <c r="AO40" s="14">
        <v>52</v>
      </c>
      <c r="AP40" s="14">
        <v>76</v>
      </c>
      <c r="AQ40" s="14">
        <v>126</v>
      </c>
      <c r="AR40" s="14">
        <v>145</v>
      </c>
      <c r="AS40" s="14">
        <v>170</v>
      </c>
      <c r="AT40" s="35">
        <v>110</v>
      </c>
      <c r="AU40" s="18">
        <v>1</v>
      </c>
      <c r="AV40" s="14">
        <v>3</v>
      </c>
      <c r="AW40" s="14">
        <v>7</v>
      </c>
      <c r="AX40" s="14">
        <v>7</v>
      </c>
      <c r="AY40" s="14">
        <v>10</v>
      </c>
      <c r="AZ40" s="14">
        <v>21</v>
      </c>
      <c r="BA40" s="14">
        <v>20</v>
      </c>
      <c r="BB40" s="34">
        <v>20</v>
      </c>
    </row>
    <row r="41" spans="2:54" ht="15" customHeight="1">
      <c r="B41" s="19" t="s">
        <v>74</v>
      </c>
      <c r="C41" s="20"/>
      <c r="D41" s="20"/>
      <c r="E41" s="21">
        <v>25</v>
      </c>
      <c r="F41" s="18">
        <v>62</v>
      </c>
      <c r="G41" s="14">
        <v>67</v>
      </c>
      <c r="H41" s="14">
        <v>63</v>
      </c>
      <c r="I41" s="14">
        <v>69</v>
      </c>
      <c r="J41" s="14">
        <v>68</v>
      </c>
      <c r="K41" s="14">
        <v>70</v>
      </c>
      <c r="L41" s="14">
        <v>80</v>
      </c>
      <c r="M41" s="14">
        <v>92</v>
      </c>
      <c r="N41" s="14">
        <v>29</v>
      </c>
      <c r="O41" s="15">
        <v>0.4603174603174603</v>
      </c>
      <c r="P41" s="25">
        <v>0.11290322580645161</v>
      </c>
      <c r="Q41" s="23">
        <v>28</v>
      </c>
      <c r="R41" s="14">
        <v>21</v>
      </c>
      <c r="S41" s="14">
        <v>13</v>
      </c>
      <c r="T41" s="14">
        <v>10</v>
      </c>
      <c r="U41" s="17">
        <v>10</v>
      </c>
      <c r="V41" s="17">
        <v>9</v>
      </c>
      <c r="W41" s="17">
        <v>8</v>
      </c>
      <c r="X41" s="17">
        <v>10</v>
      </c>
      <c r="Y41" s="14">
        <v>-3</v>
      </c>
      <c r="Z41" s="15">
        <v>-0.6428571428571429</v>
      </c>
      <c r="AA41" s="25"/>
      <c r="AB41" s="18">
        <v>71</v>
      </c>
      <c r="AC41" s="14">
        <v>48</v>
      </c>
      <c r="AD41" s="14">
        <v>26</v>
      </c>
      <c r="AE41" s="14">
        <v>21</v>
      </c>
      <c r="AF41" s="14">
        <v>14</v>
      </c>
      <c r="AG41" s="14">
        <v>18</v>
      </c>
      <c r="AH41" s="14">
        <v>22</v>
      </c>
      <c r="AI41" s="14">
        <v>26</v>
      </c>
      <c r="AJ41" s="14">
        <v>0</v>
      </c>
      <c r="AK41" s="15">
        <v>-0.704225352112676</v>
      </c>
      <c r="AL41" s="34">
        <v>-0.19230769230769232</v>
      </c>
      <c r="AM41" s="18">
        <v>593</v>
      </c>
      <c r="AN41" s="14">
        <v>644</v>
      </c>
      <c r="AO41" s="14">
        <v>656</v>
      </c>
      <c r="AP41" s="14">
        <v>653</v>
      </c>
      <c r="AQ41" s="14">
        <v>718</v>
      </c>
      <c r="AR41" s="14">
        <v>799</v>
      </c>
      <c r="AS41" s="14">
        <v>877</v>
      </c>
      <c r="AT41" s="35">
        <v>233</v>
      </c>
      <c r="AU41" s="18">
        <v>12</v>
      </c>
      <c r="AV41" s="14">
        <v>11</v>
      </c>
      <c r="AW41" s="14">
        <v>13</v>
      </c>
      <c r="AX41" s="14">
        <v>16</v>
      </c>
      <c r="AY41" s="14">
        <v>23</v>
      </c>
      <c r="AZ41" s="14">
        <v>33</v>
      </c>
      <c r="BA41" s="14">
        <v>21</v>
      </c>
      <c r="BB41" s="34">
        <v>1.75</v>
      </c>
    </row>
    <row r="42" spans="2:54" ht="15" customHeight="1">
      <c r="B42" s="19" t="s">
        <v>76</v>
      </c>
      <c r="C42" s="20">
        <v>1</v>
      </c>
      <c r="D42" s="20" t="s">
        <v>75</v>
      </c>
      <c r="E42" s="22">
        <v>26</v>
      </c>
      <c r="F42" s="18">
        <v>22</v>
      </c>
      <c r="G42" s="14">
        <v>25</v>
      </c>
      <c r="H42" s="14">
        <v>21</v>
      </c>
      <c r="I42" s="14">
        <v>19</v>
      </c>
      <c r="J42" s="14">
        <v>20</v>
      </c>
      <c r="K42" s="14">
        <v>18</v>
      </c>
      <c r="L42" s="14">
        <v>18</v>
      </c>
      <c r="M42" s="14">
        <v>25</v>
      </c>
      <c r="N42" s="14">
        <v>4</v>
      </c>
      <c r="O42" s="15">
        <v>0.19047619047619047</v>
      </c>
      <c r="P42" s="25">
        <v>-0.13636363636363635</v>
      </c>
      <c r="Q42" s="18"/>
      <c r="R42" s="14"/>
      <c r="S42" s="14"/>
      <c r="T42" s="14"/>
      <c r="U42" s="17">
        <v>6</v>
      </c>
      <c r="V42" s="17">
        <v>6</v>
      </c>
      <c r="W42" s="17">
        <v>4</v>
      </c>
      <c r="X42" s="17">
        <v>5</v>
      </c>
      <c r="Y42" s="14"/>
      <c r="Z42" s="15"/>
      <c r="AA42" s="25"/>
      <c r="AB42" s="18">
        <v>35</v>
      </c>
      <c r="AC42" s="14">
        <v>17</v>
      </c>
      <c r="AD42" s="14">
        <v>9</v>
      </c>
      <c r="AE42" s="14">
        <v>10</v>
      </c>
      <c r="AF42" s="14">
        <v>25</v>
      </c>
      <c r="AG42" s="14">
        <v>19</v>
      </c>
      <c r="AH42" s="14">
        <v>10</v>
      </c>
      <c r="AI42" s="14">
        <v>12</v>
      </c>
      <c r="AJ42" s="14">
        <v>3</v>
      </c>
      <c r="AK42" s="15">
        <v>-0.7142857142857143</v>
      </c>
      <c r="AL42" s="34"/>
      <c r="AM42" s="18">
        <v>221</v>
      </c>
      <c r="AN42" s="14">
        <v>215</v>
      </c>
      <c r="AO42" s="14">
        <v>212</v>
      </c>
      <c r="AP42" s="14">
        <v>209</v>
      </c>
      <c r="AQ42" s="14">
        <v>256</v>
      </c>
      <c r="AR42" s="14">
        <v>281</v>
      </c>
      <c r="AS42" s="14">
        <v>288</v>
      </c>
      <c r="AT42" s="35">
        <v>73</v>
      </c>
      <c r="AU42" s="18">
        <v>6</v>
      </c>
      <c r="AV42" s="14">
        <v>6</v>
      </c>
      <c r="AW42" s="14">
        <v>7</v>
      </c>
      <c r="AX42" s="14">
        <v>5</v>
      </c>
      <c r="AY42" s="14">
        <v>6</v>
      </c>
      <c r="AZ42" s="14">
        <v>9</v>
      </c>
      <c r="BA42" s="14">
        <v>3</v>
      </c>
      <c r="BB42" s="34">
        <v>0.5</v>
      </c>
    </row>
    <row r="43" spans="2:54" ht="15" customHeight="1">
      <c r="B43" s="19" t="s">
        <v>77</v>
      </c>
      <c r="C43" s="20"/>
      <c r="D43" s="20"/>
      <c r="E43" s="22">
        <v>27</v>
      </c>
      <c r="F43" s="18"/>
      <c r="G43" s="14"/>
      <c r="H43" s="14"/>
      <c r="I43" s="14"/>
      <c r="J43" s="14">
        <v>108</v>
      </c>
      <c r="K43" s="14">
        <v>113</v>
      </c>
      <c r="L43" s="14">
        <v>123</v>
      </c>
      <c r="M43" s="14">
        <v>136</v>
      </c>
      <c r="N43" s="14"/>
      <c r="O43" s="15"/>
      <c r="P43" s="25"/>
      <c r="Q43" s="23"/>
      <c r="R43" s="14"/>
      <c r="S43" s="14"/>
      <c r="T43" s="14"/>
      <c r="U43" s="17">
        <v>21</v>
      </c>
      <c r="V43" s="17">
        <v>26</v>
      </c>
      <c r="W43" s="17">
        <v>25</v>
      </c>
      <c r="X43" s="17">
        <v>18</v>
      </c>
      <c r="Y43" s="14"/>
      <c r="Z43" s="15"/>
      <c r="AA43" s="25"/>
      <c r="AB43" s="18"/>
      <c r="AC43" s="14"/>
      <c r="AD43" s="14"/>
      <c r="AE43" s="14"/>
      <c r="AF43" s="14">
        <v>15</v>
      </c>
      <c r="AG43" s="14">
        <v>67</v>
      </c>
      <c r="AH43" s="14">
        <v>57</v>
      </c>
      <c r="AI43" s="14">
        <v>39</v>
      </c>
      <c r="AJ43" s="14">
        <v>39</v>
      </c>
      <c r="AK43" s="15"/>
      <c r="AL43" s="26"/>
      <c r="AM43" s="18">
        <v>556</v>
      </c>
      <c r="AN43" s="14">
        <v>567</v>
      </c>
      <c r="AO43" s="14">
        <v>570</v>
      </c>
      <c r="AP43" s="14">
        <v>587</v>
      </c>
      <c r="AQ43" s="14">
        <v>681</v>
      </c>
      <c r="AR43" s="14">
        <v>788</v>
      </c>
      <c r="AS43" s="14">
        <v>809</v>
      </c>
      <c r="AT43" s="35">
        <v>242</v>
      </c>
      <c r="AU43" s="18">
        <v>23</v>
      </c>
      <c r="AV43" s="14">
        <v>27</v>
      </c>
      <c r="AW43" s="14">
        <v>23</v>
      </c>
      <c r="AX43" s="14">
        <v>26</v>
      </c>
      <c r="AY43" s="14">
        <v>25</v>
      </c>
      <c r="AZ43" s="14">
        <v>35</v>
      </c>
      <c r="BA43" s="14">
        <v>12</v>
      </c>
      <c r="BB43" s="34">
        <v>0.5217391304347826</v>
      </c>
    </row>
    <row r="44" spans="2:54" ht="15" customHeight="1">
      <c r="B44" s="19" t="s">
        <v>78</v>
      </c>
      <c r="C44" s="20"/>
      <c r="D44" s="20"/>
      <c r="E44" s="21">
        <v>28</v>
      </c>
      <c r="F44" s="18"/>
      <c r="G44" s="14"/>
      <c r="H44" s="14"/>
      <c r="I44" s="14"/>
      <c r="J44" s="14">
        <v>119</v>
      </c>
      <c r="K44" s="14">
        <v>128</v>
      </c>
      <c r="L44" s="14">
        <v>139</v>
      </c>
      <c r="M44" s="14">
        <v>161</v>
      </c>
      <c r="N44" s="14"/>
      <c r="O44" s="15"/>
      <c r="P44" s="25"/>
      <c r="Q44" s="23"/>
      <c r="R44" s="14"/>
      <c r="S44" s="14"/>
      <c r="T44" s="14"/>
      <c r="U44" s="17">
        <v>28</v>
      </c>
      <c r="V44" s="17">
        <v>22</v>
      </c>
      <c r="W44" s="17">
        <v>23</v>
      </c>
      <c r="X44" s="17">
        <v>27</v>
      </c>
      <c r="Y44" s="14"/>
      <c r="Z44" s="15"/>
      <c r="AA44" s="25"/>
      <c r="AB44" s="18"/>
      <c r="AC44" s="14"/>
      <c r="AD44" s="14"/>
      <c r="AE44" s="14"/>
      <c r="AF44" s="14">
        <v>48</v>
      </c>
      <c r="AG44" s="14">
        <v>50</v>
      </c>
      <c r="AH44" s="14">
        <v>49</v>
      </c>
      <c r="AI44" s="14">
        <v>59</v>
      </c>
      <c r="AJ44" s="14">
        <v>59</v>
      </c>
      <c r="AK44" s="15"/>
      <c r="AL44" s="26"/>
      <c r="AM44" s="18">
        <v>684</v>
      </c>
      <c r="AN44" s="14">
        <v>707</v>
      </c>
      <c r="AO44" s="14">
        <v>748</v>
      </c>
      <c r="AP44" s="14">
        <v>817</v>
      </c>
      <c r="AQ44" s="14">
        <v>978</v>
      </c>
      <c r="AR44" s="14">
        <v>1077</v>
      </c>
      <c r="AS44" s="14">
        <v>1122</v>
      </c>
      <c r="AT44" s="35">
        <v>415</v>
      </c>
      <c r="AU44" s="18">
        <v>25</v>
      </c>
      <c r="AV44" s="14">
        <v>28</v>
      </c>
      <c r="AW44" s="14">
        <v>31</v>
      </c>
      <c r="AX44" s="14">
        <v>37</v>
      </c>
      <c r="AY44" s="14">
        <v>39</v>
      </c>
      <c r="AZ44" s="14">
        <v>47</v>
      </c>
      <c r="BA44" s="14">
        <v>22</v>
      </c>
      <c r="BB44" s="34">
        <v>0.88</v>
      </c>
    </row>
    <row r="45" spans="2:54" ht="15" customHeight="1">
      <c r="B45" s="19" t="s">
        <v>79</v>
      </c>
      <c r="C45" s="20">
        <v>1</v>
      </c>
      <c r="D45" s="20" t="s">
        <v>52</v>
      </c>
      <c r="E45" s="22">
        <v>29</v>
      </c>
      <c r="F45" s="18"/>
      <c r="G45" s="14"/>
      <c r="H45" s="14"/>
      <c r="I45" s="14"/>
      <c r="J45" s="14">
        <v>0</v>
      </c>
      <c r="K45" s="14">
        <v>1</v>
      </c>
      <c r="L45" s="14">
        <v>3</v>
      </c>
      <c r="M45" s="14">
        <v>4</v>
      </c>
      <c r="N45" s="14">
        <v>4</v>
      </c>
      <c r="O45" s="15"/>
      <c r="P45" s="25"/>
      <c r="Q45" s="23"/>
      <c r="R45" s="14"/>
      <c r="S45" s="14"/>
      <c r="T45" s="14"/>
      <c r="U45" s="17">
        <v>0</v>
      </c>
      <c r="V45" s="17">
        <v>0</v>
      </c>
      <c r="W45" s="17">
        <v>1</v>
      </c>
      <c r="X45" s="17">
        <v>0</v>
      </c>
      <c r="Y45" s="14">
        <v>0</v>
      </c>
      <c r="Z45" s="15"/>
      <c r="AA45" s="25"/>
      <c r="AB45" s="18"/>
      <c r="AC45" s="14"/>
      <c r="AD45" s="14"/>
      <c r="AE45" s="14"/>
      <c r="AF45" s="14">
        <v>65</v>
      </c>
      <c r="AG45" s="14">
        <v>2</v>
      </c>
      <c r="AH45" s="14">
        <v>2</v>
      </c>
      <c r="AI45" s="14">
        <v>1</v>
      </c>
      <c r="AJ45" s="14">
        <v>1</v>
      </c>
      <c r="AK45" s="15"/>
      <c r="AL45" s="26"/>
      <c r="AM45" s="18">
        <v>13</v>
      </c>
      <c r="AN45" s="14">
        <v>22</v>
      </c>
      <c r="AO45" s="14">
        <v>26</v>
      </c>
      <c r="AP45" s="14">
        <v>27</v>
      </c>
      <c r="AQ45" s="14">
        <v>30</v>
      </c>
      <c r="AR45" s="14">
        <v>22</v>
      </c>
      <c r="AS45" s="14">
        <v>28</v>
      </c>
      <c r="AT45" s="35">
        <v>6</v>
      </c>
      <c r="AU45" s="18">
        <v>2</v>
      </c>
      <c r="AV45" s="14">
        <v>1</v>
      </c>
      <c r="AW45" s="14">
        <v>0</v>
      </c>
      <c r="AX45" s="14">
        <v>0</v>
      </c>
      <c r="AY45" s="14">
        <v>0</v>
      </c>
      <c r="AZ45" s="14">
        <v>2</v>
      </c>
      <c r="BA45" s="14">
        <v>0</v>
      </c>
      <c r="BB45" s="34">
        <v>0</v>
      </c>
    </row>
    <row r="46" spans="2:54" ht="15" customHeight="1">
      <c r="B46" s="19" t="s">
        <v>80</v>
      </c>
      <c r="C46" s="20">
        <v>1</v>
      </c>
      <c r="D46" s="20" t="s">
        <v>47</v>
      </c>
      <c r="E46" s="22">
        <v>30</v>
      </c>
      <c r="F46" s="18">
        <v>16</v>
      </c>
      <c r="G46" s="14">
        <v>13</v>
      </c>
      <c r="H46" s="14">
        <v>20</v>
      </c>
      <c r="I46" s="14">
        <v>18</v>
      </c>
      <c r="J46" s="14">
        <v>18</v>
      </c>
      <c r="K46" s="14">
        <v>23</v>
      </c>
      <c r="L46" s="14">
        <v>28</v>
      </c>
      <c r="M46" s="14">
        <v>31</v>
      </c>
      <c r="N46" s="14">
        <v>11</v>
      </c>
      <c r="O46" s="15">
        <v>0.55</v>
      </c>
      <c r="P46" s="25">
        <v>0.125</v>
      </c>
      <c r="Q46" s="23">
        <v>12</v>
      </c>
      <c r="R46" s="14">
        <v>5</v>
      </c>
      <c r="S46" s="14">
        <v>3</v>
      </c>
      <c r="T46" s="14">
        <v>5</v>
      </c>
      <c r="U46" s="17">
        <v>4</v>
      </c>
      <c r="V46" s="17">
        <v>5</v>
      </c>
      <c r="W46" s="17">
        <v>5</v>
      </c>
      <c r="X46" s="17">
        <v>3</v>
      </c>
      <c r="Y46" s="14">
        <v>0</v>
      </c>
      <c r="Z46" s="15">
        <v>-0.5833333333333334</v>
      </c>
      <c r="AA46" s="25"/>
      <c r="AB46" s="18">
        <v>30</v>
      </c>
      <c r="AC46" s="14">
        <v>7</v>
      </c>
      <c r="AD46" s="14">
        <v>6</v>
      </c>
      <c r="AE46" s="14">
        <v>10</v>
      </c>
      <c r="AF46" s="14">
        <v>1</v>
      </c>
      <c r="AG46" s="14">
        <v>8</v>
      </c>
      <c r="AH46" s="14">
        <v>10</v>
      </c>
      <c r="AI46" s="14">
        <v>10</v>
      </c>
      <c r="AJ46" s="14">
        <v>4</v>
      </c>
      <c r="AK46" s="15">
        <v>-0.6666666666666666</v>
      </c>
      <c r="AL46" s="26"/>
      <c r="AM46" s="18">
        <v>125</v>
      </c>
      <c r="AN46" s="14">
        <v>131</v>
      </c>
      <c r="AO46" s="14">
        <v>159</v>
      </c>
      <c r="AP46" s="14">
        <v>163</v>
      </c>
      <c r="AQ46" s="14">
        <v>189</v>
      </c>
      <c r="AR46" s="14">
        <v>217</v>
      </c>
      <c r="AS46" s="14">
        <v>245</v>
      </c>
      <c r="AT46" s="35">
        <v>114</v>
      </c>
      <c r="AU46" s="18">
        <v>6</v>
      </c>
      <c r="AV46" s="14">
        <v>6</v>
      </c>
      <c r="AW46" s="14">
        <v>8</v>
      </c>
      <c r="AX46" s="14">
        <v>11</v>
      </c>
      <c r="AY46" s="14">
        <v>11</v>
      </c>
      <c r="AZ46" s="14">
        <v>19</v>
      </c>
      <c r="BA46" s="14">
        <v>13</v>
      </c>
      <c r="BB46" s="34">
        <v>2.1666666666666665</v>
      </c>
    </row>
    <row r="47" spans="2:54" ht="15" customHeight="1">
      <c r="B47" s="19" t="s">
        <v>81</v>
      </c>
      <c r="C47" s="20">
        <v>1</v>
      </c>
      <c r="D47" s="20" t="s">
        <v>52</v>
      </c>
      <c r="E47" s="21">
        <v>31</v>
      </c>
      <c r="F47" s="18">
        <v>7</v>
      </c>
      <c r="G47" s="14">
        <v>6</v>
      </c>
      <c r="H47" s="14">
        <v>5</v>
      </c>
      <c r="I47" s="14">
        <v>7</v>
      </c>
      <c r="J47" s="14">
        <v>7</v>
      </c>
      <c r="K47" s="14">
        <v>8</v>
      </c>
      <c r="L47" s="14">
        <v>7</v>
      </c>
      <c r="M47" s="14">
        <v>6</v>
      </c>
      <c r="N47" s="14">
        <v>1</v>
      </c>
      <c r="O47" s="15">
        <v>0.2</v>
      </c>
      <c r="P47" s="25">
        <v>0</v>
      </c>
      <c r="Q47" s="23">
        <v>4</v>
      </c>
      <c r="R47" s="14">
        <v>1</v>
      </c>
      <c r="S47" s="14">
        <v>1</v>
      </c>
      <c r="T47" s="14">
        <v>1</v>
      </c>
      <c r="U47" s="17">
        <v>2</v>
      </c>
      <c r="V47" s="17">
        <v>1</v>
      </c>
      <c r="W47" s="17">
        <v>0</v>
      </c>
      <c r="X47" s="17">
        <v>1</v>
      </c>
      <c r="Y47" s="14">
        <v>0</v>
      </c>
      <c r="Z47" s="15">
        <v>-0.75</v>
      </c>
      <c r="AA47" s="25"/>
      <c r="AB47" s="18">
        <v>11</v>
      </c>
      <c r="AC47" s="14">
        <v>3</v>
      </c>
      <c r="AD47" s="14">
        <v>1</v>
      </c>
      <c r="AE47" s="14">
        <v>2</v>
      </c>
      <c r="AF47" s="14">
        <v>7</v>
      </c>
      <c r="AG47" s="14">
        <v>2</v>
      </c>
      <c r="AH47" s="14">
        <v>3</v>
      </c>
      <c r="AI47" s="14">
        <v>3</v>
      </c>
      <c r="AJ47" s="14">
        <v>2</v>
      </c>
      <c r="AK47" s="15">
        <v>-0.8181818181818182</v>
      </c>
      <c r="AL47" s="26"/>
      <c r="AM47" s="18">
        <v>42</v>
      </c>
      <c r="AN47" s="14">
        <v>48</v>
      </c>
      <c r="AO47" s="14">
        <v>51</v>
      </c>
      <c r="AP47" s="14">
        <v>60</v>
      </c>
      <c r="AQ47" s="14">
        <v>79</v>
      </c>
      <c r="AR47" s="14">
        <v>100</v>
      </c>
      <c r="AS47" s="14">
        <v>94</v>
      </c>
      <c r="AT47" s="35">
        <v>46</v>
      </c>
      <c r="AU47" s="18">
        <v>2</v>
      </c>
      <c r="AV47" s="14">
        <v>2</v>
      </c>
      <c r="AW47" s="14">
        <v>3</v>
      </c>
      <c r="AX47" s="14">
        <v>3</v>
      </c>
      <c r="AY47" s="14">
        <v>1</v>
      </c>
      <c r="AZ47" s="14">
        <v>2</v>
      </c>
      <c r="BA47" s="14">
        <v>0</v>
      </c>
      <c r="BB47" s="34">
        <v>0</v>
      </c>
    </row>
    <row r="48" spans="2:54" ht="15" customHeight="1">
      <c r="B48" s="19" t="s">
        <v>82</v>
      </c>
      <c r="C48" s="20"/>
      <c r="D48" s="20"/>
      <c r="E48" s="22">
        <v>32</v>
      </c>
      <c r="F48" s="18">
        <v>89</v>
      </c>
      <c r="G48" s="14">
        <v>76</v>
      </c>
      <c r="H48" s="14">
        <v>72</v>
      </c>
      <c r="I48" s="14">
        <v>72</v>
      </c>
      <c r="J48" s="14">
        <v>80</v>
      </c>
      <c r="K48" s="14">
        <v>76</v>
      </c>
      <c r="L48" s="14">
        <v>89</v>
      </c>
      <c r="M48" s="14">
        <v>99</v>
      </c>
      <c r="N48" s="14">
        <v>27</v>
      </c>
      <c r="O48" s="15">
        <v>0.375</v>
      </c>
      <c r="P48" s="25">
        <v>-0.19101123595505617</v>
      </c>
      <c r="Q48" s="23">
        <v>50</v>
      </c>
      <c r="R48" s="14">
        <v>29</v>
      </c>
      <c r="S48" s="14">
        <v>22</v>
      </c>
      <c r="T48" s="14">
        <v>19</v>
      </c>
      <c r="U48" s="17">
        <v>21</v>
      </c>
      <c r="V48" s="17">
        <v>19</v>
      </c>
      <c r="W48" s="17">
        <v>19</v>
      </c>
      <c r="X48" s="17">
        <v>12</v>
      </c>
      <c r="Y48" s="14">
        <v>-10</v>
      </c>
      <c r="Z48" s="15">
        <v>-0.62</v>
      </c>
      <c r="AA48" s="25"/>
      <c r="AB48" s="18">
        <v>119</v>
      </c>
      <c r="AC48" s="14">
        <v>60</v>
      </c>
      <c r="AD48" s="14">
        <v>47</v>
      </c>
      <c r="AE48" s="14">
        <v>35</v>
      </c>
      <c r="AF48" s="14">
        <v>6</v>
      </c>
      <c r="AG48" s="14">
        <v>35</v>
      </c>
      <c r="AH48" s="14">
        <v>35</v>
      </c>
      <c r="AI48" s="14">
        <v>21</v>
      </c>
      <c r="AJ48" s="14">
        <v>-26</v>
      </c>
      <c r="AK48" s="15">
        <v>-0.7058823529411765</v>
      </c>
      <c r="AL48" s="26"/>
      <c r="AM48" s="18">
        <v>401</v>
      </c>
      <c r="AN48" s="14">
        <v>423</v>
      </c>
      <c r="AO48" s="14">
        <v>439</v>
      </c>
      <c r="AP48" s="14">
        <v>508</v>
      </c>
      <c r="AQ48" s="14">
        <v>621</v>
      </c>
      <c r="AR48" s="14">
        <v>673</v>
      </c>
      <c r="AS48" s="14">
        <v>736</v>
      </c>
      <c r="AT48" s="35">
        <v>313</v>
      </c>
      <c r="AU48" s="18">
        <v>18</v>
      </c>
      <c r="AV48" s="14">
        <v>26</v>
      </c>
      <c r="AW48" s="14">
        <v>33</v>
      </c>
      <c r="AX48" s="14">
        <v>28</v>
      </c>
      <c r="AY48" s="14">
        <v>25</v>
      </c>
      <c r="AZ48" s="14">
        <v>43</v>
      </c>
      <c r="BA48" s="14">
        <v>25</v>
      </c>
      <c r="BB48" s="34">
        <v>1.3888888888888888</v>
      </c>
    </row>
    <row r="49" spans="2:54" ht="15" customHeight="1">
      <c r="B49" s="19" t="s">
        <v>83</v>
      </c>
      <c r="C49" s="20"/>
      <c r="D49" s="20"/>
      <c r="E49" s="22">
        <v>33</v>
      </c>
      <c r="F49" s="18">
        <v>80</v>
      </c>
      <c r="G49" s="14">
        <v>77</v>
      </c>
      <c r="H49" s="14">
        <v>71</v>
      </c>
      <c r="I49" s="14">
        <v>77</v>
      </c>
      <c r="J49" s="14">
        <v>82</v>
      </c>
      <c r="K49" s="14">
        <v>91</v>
      </c>
      <c r="L49" s="14">
        <v>94</v>
      </c>
      <c r="M49" s="14">
        <v>103</v>
      </c>
      <c r="N49" s="14">
        <v>32</v>
      </c>
      <c r="O49" s="15">
        <v>0.4507042253521127</v>
      </c>
      <c r="P49" s="25">
        <v>-0.0375</v>
      </c>
      <c r="Q49" s="23">
        <v>39</v>
      </c>
      <c r="R49" s="14">
        <v>28</v>
      </c>
      <c r="S49" s="14">
        <v>20</v>
      </c>
      <c r="T49" s="14">
        <v>21</v>
      </c>
      <c r="U49" s="17">
        <v>16</v>
      </c>
      <c r="V49" s="17">
        <v>13</v>
      </c>
      <c r="W49" s="17">
        <v>21</v>
      </c>
      <c r="X49" s="17">
        <v>16</v>
      </c>
      <c r="Y49" s="14">
        <v>-4</v>
      </c>
      <c r="Z49" s="15">
        <v>-0.46153846153846156</v>
      </c>
      <c r="AA49" s="25"/>
      <c r="AB49" s="18">
        <v>95</v>
      </c>
      <c r="AC49" s="14">
        <v>62</v>
      </c>
      <c r="AD49" s="14">
        <v>42</v>
      </c>
      <c r="AE49" s="14">
        <v>38</v>
      </c>
      <c r="AF49" s="14">
        <v>39</v>
      </c>
      <c r="AG49" s="14">
        <v>21</v>
      </c>
      <c r="AH49" s="14">
        <v>39</v>
      </c>
      <c r="AI49" s="14">
        <v>33</v>
      </c>
      <c r="AJ49" s="14">
        <v>-9</v>
      </c>
      <c r="AK49" s="15">
        <v>-0.6</v>
      </c>
      <c r="AL49" s="26"/>
      <c r="AM49" s="18">
        <v>627</v>
      </c>
      <c r="AN49" s="14">
        <v>659</v>
      </c>
      <c r="AO49" s="14">
        <v>645</v>
      </c>
      <c r="AP49" s="14">
        <v>688</v>
      </c>
      <c r="AQ49" s="14">
        <v>766</v>
      </c>
      <c r="AR49" s="14">
        <v>831</v>
      </c>
      <c r="AS49" s="14">
        <v>859</v>
      </c>
      <c r="AT49" s="35">
        <v>200</v>
      </c>
      <c r="AU49" s="18">
        <v>19</v>
      </c>
      <c r="AV49" s="14">
        <v>22</v>
      </c>
      <c r="AW49" s="14">
        <v>22</v>
      </c>
      <c r="AX49" s="14">
        <v>32</v>
      </c>
      <c r="AY49" s="14">
        <v>40</v>
      </c>
      <c r="AZ49" s="14">
        <v>47</v>
      </c>
      <c r="BA49" s="14">
        <v>28</v>
      </c>
      <c r="BB49" s="34">
        <v>1.4736842105263157</v>
      </c>
    </row>
    <row r="50" spans="2:54" ht="15" customHeight="1">
      <c r="B50" s="19" t="s">
        <v>84</v>
      </c>
      <c r="C50" s="20" t="s">
        <v>63</v>
      </c>
      <c r="D50" s="20"/>
      <c r="E50" s="21">
        <v>34</v>
      </c>
      <c r="F50" s="18">
        <v>1526</v>
      </c>
      <c r="G50" s="14">
        <v>1311</v>
      </c>
      <c r="H50" s="14">
        <v>1206</v>
      </c>
      <c r="I50" s="14">
        <v>1111</v>
      </c>
      <c r="J50" s="14">
        <v>1121</v>
      </c>
      <c r="K50" s="14">
        <v>1192</v>
      </c>
      <c r="L50" s="14">
        <v>1330</v>
      </c>
      <c r="M50" s="14">
        <v>1500</v>
      </c>
      <c r="N50" s="14">
        <v>294</v>
      </c>
      <c r="O50" s="15">
        <v>0.24378109452736318</v>
      </c>
      <c r="P50" s="25">
        <v>-0.27195281782437747</v>
      </c>
      <c r="Q50" s="23">
        <v>752</v>
      </c>
      <c r="R50" s="14">
        <v>454</v>
      </c>
      <c r="S50" s="14">
        <v>323</v>
      </c>
      <c r="T50" s="14">
        <v>262</v>
      </c>
      <c r="U50" s="17">
        <v>246</v>
      </c>
      <c r="V50" s="17">
        <v>228</v>
      </c>
      <c r="W50" s="17">
        <v>227</v>
      </c>
      <c r="X50" s="17">
        <v>230</v>
      </c>
      <c r="Y50" s="14">
        <v>-93</v>
      </c>
      <c r="Z50" s="15">
        <v>-0.651595744680851</v>
      </c>
      <c r="AA50" s="25"/>
      <c r="AB50" s="18">
        <v>1935</v>
      </c>
      <c r="AC50" s="14">
        <v>1047</v>
      </c>
      <c r="AD50" s="14">
        <v>676</v>
      </c>
      <c r="AE50" s="14">
        <v>528</v>
      </c>
      <c r="AF50" s="14">
        <v>31</v>
      </c>
      <c r="AG50" s="14">
        <v>470</v>
      </c>
      <c r="AH50" s="14">
        <v>456</v>
      </c>
      <c r="AI50" s="14">
        <v>471</v>
      </c>
      <c r="AJ50" s="14">
        <v>-205</v>
      </c>
      <c r="AK50" s="15">
        <v>-0.7271317829457364</v>
      </c>
      <c r="AL50" s="26"/>
      <c r="AM50" s="18">
        <v>6052</v>
      </c>
      <c r="AN50" s="14">
        <v>6085</v>
      </c>
      <c r="AO50" s="14">
        <v>6184</v>
      </c>
      <c r="AP50" s="14">
        <v>6254</v>
      </c>
      <c r="AQ50" s="14">
        <v>6866</v>
      </c>
      <c r="AR50" s="14">
        <v>7457</v>
      </c>
      <c r="AS50" s="14">
        <v>7822</v>
      </c>
      <c r="AT50" s="35">
        <v>1737</v>
      </c>
      <c r="AU50" s="18">
        <v>336</v>
      </c>
      <c r="AV50" s="14">
        <v>348</v>
      </c>
      <c r="AW50" s="14">
        <v>375</v>
      </c>
      <c r="AX50" s="14">
        <v>415</v>
      </c>
      <c r="AY50" s="14">
        <v>458</v>
      </c>
      <c r="AZ50" s="14">
        <v>508</v>
      </c>
      <c r="BA50" s="14">
        <v>172</v>
      </c>
      <c r="BB50" s="34">
        <v>0.5119047619047619</v>
      </c>
    </row>
    <row r="51" spans="2:54" ht="15" customHeight="1">
      <c r="B51" s="19" t="s">
        <v>85</v>
      </c>
      <c r="C51" s="20"/>
      <c r="D51" s="20"/>
      <c r="E51" s="22">
        <v>35</v>
      </c>
      <c r="F51" s="18">
        <v>27</v>
      </c>
      <c r="G51" s="14">
        <v>24</v>
      </c>
      <c r="H51" s="14">
        <v>20</v>
      </c>
      <c r="I51" s="14">
        <v>21</v>
      </c>
      <c r="J51" s="14">
        <v>23</v>
      </c>
      <c r="K51" s="14">
        <v>18</v>
      </c>
      <c r="L51" s="14">
        <v>16</v>
      </c>
      <c r="M51" s="14">
        <v>20</v>
      </c>
      <c r="N51" s="14">
        <v>0</v>
      </c>
      <c r="O51" s="15">
        <v>0</v>
      </c>
      <c r="P51" s="25">
        <v>-0.2222222222222222</v>
      </c>
      <c r="Q51" s="23">
        <v>6</v>
      </c>
      <c r="R51" s="14">
        <v>5</v>
      </c>
      <c r="S51" s="14">
        <v>2</v>
      </c>
      <c r="T51" s="14">
        <v>2</v>
      </c>
      <c r="U51" s="17">
        <v>4</v>
      </c>
      <c r="V51" s="17">
        <v>3</v>
      </c>
      <c r="W51" s="17">
        <v>2</v>
      </c>
      <c r="X51" s="17">
        <v>2</v>
      </c>
      <c r="Y51" s="14">
        <v>0</v>
      </c>
      <c r="Z51" s="15">
        <v>-0.6666666666666666</v>
      </c>
      <c r="AA51" s="25"/>
      <c r="AB51" s="18">
        <v>18</v>
      </c>
      <c r="AC51" s="14">
        <v>13</v>
      </c>
      <c r="AD51" s="14">
        <v>5</v>
      </c>
      <c r="AE51" s="14">
        <v>4</v>
      </c>
      <c r="AF51" s="14">
        <v>495</v>
      </c>
      <c r="AG51" s="14">
        <v>5</v>
      </c>
      <c r="AH51" s="14">
        <v>4</v>
      </c>
      <c r="AI51" s="14">
        <v>3</v>
      </c>
      <c r="AJ51" s="14">
        <v>-2</v>
      </c>
      <c r="AK51" s="15">
        <v>-0.7777777777777778</v>
      </c>
      <c r="AL51" s="26"/>
      <c r="AM51" s="18">
        <v>199</v>
      </c>
      <c r="AN51" s="14">
        <v>202</v>
      </c>
      <c r="AO51" s="14">
        <v>204</v>
      </c>
      <c r="AP51" s="14">
        <v>207</v>
      </c>
      <c r="AQ51" s="14">
        <v>248</v>
      </c>
      <c r="AR51" s="14">
        <v>276</v>
      </c>
      <c r="AS51" s="14">
        <v>277</v>
      </c>
      <c r="AT51" s="35">
        <v>75</v>
      </c>
      <c r="AU51" s="18">
        <v>6</v>
      </c>
      <c r="AV51" s="14">
        <v>7</v>
      </c>
      <c r="AW51" s="14">
        <v>6</v>
      </c>
      <c r="AX51" s="14">
        <v>7</v>
      </c>
      <c r="AY51" s="14">
        <v>11</v>
      </c>
      <c r="AZ51" s="14">
        <v>12</v>
      </c>
      <c r="BA51" s="14">
        <v>6</v>
      </c>
      <c r="BB51" s="34">
        <v>1</v>
      </c>
    </row>
    <row r="52" spans="2:54" ht="15" customHeight="1">
      <c r="B52" s="19" t="s">
        <v>86</v>
      </c>
      <c r="C52" s="20">
        <v>1</v>
      </c>
      <c r="D52" s="20" t="s">
        <v>75</v>
      </c>
      <c r="E52" s="22">
        <v>36</v>
      </c>
      <c r="F52" s="18">
        <v>39</v>
      </c>
      <c r="G52" s="14">
        <v>37</v>
      </c>
      <c r="H52" s="14">
        <v>32</v>
      </c>
      <c r="I52" s="14">
        <v>32</v>
      </c>
      <c r="J52" s="14">
        <v>35</v>
      </c>
      <c r="K52" s="14">
        <v>35</v>
      </c>
      <c r="L52" s="14">
        <v>31</v>
      </c>
      <c r="M52" s="14">
        <v>34</v>
      </c>
      <c r="N52" s="14">
        <v>2</v>
      </c>
      <c r="O52" s="15">
        <v>0.0625</v>
      </c>
      <c r="P52" s="25">
        <v>-0.1794871794871795</v>
      </c>
      <c r="Q52" s="23">
        <v>13</v>
      </c>
      <c r="R52" s="14">
        <v>12</v>
      </c>
      <c r="S52" s="14">
        <v>7</v>
      </c>
      <c r="T52" s="14">
        <v>6</v>
      </c>
      <c r="U52" s="17">
        <v>8</v>
      </c>
      <c r="V52" s="17">
        <v>7</v>
      </c>
      <c r="W52" s="17">
        <v>4</v>
      </c>
      <c r="X52" s="17">
        <v>5</v>
      </c>
      <c r="Y52" s="14">
        <v>-2</v>
      </c>
      <c r="Z52" s="15">
        <v>-0.5384615384615384</v>
      </c>
      <c r="AA52" s="25"/>
      <c r="AB52" s="18">
        <v>30</v>
      </c>
      <c r="AC52" s="14">
        <v>28</v>
      </c>
      <c r="AD52" s="14">
        <v>20</v>
      </c>
      <c r="AE52" s="14">
        <v>19</v>
      </c>
      <c r="AF52" s="14">
        <v>8</v>
      </c>
      <c r="AG52" s="14">
        <v>26</v>
      </c>
      <c r="AH52" s="14">
        <v>17</v>
      </c>
      <c r="AI52" s="14">
        <v>16</v>
      </c>
      <c r="AJ52" s="14">
        <v>-4</v>
      </c>
      <c r="AK52" s="15">
        <v>-0.36666666666666664</v>
      </c>
      <c r="AL52" s="26"/>
      <c r="AM52" s="18">
        <v>231</v>
      </c>
      <c r="AN52" s="14">
        <v>261</v>
      </c>
      <c r="AO52" s="14">
        <v>262</v>
      </c>
      <c r="AP52" s="14">
        <v>286</v>
      </c>
      <c r="AQ52" s="14">
        <v>357</v>
      </c>
      <c r="AR52" s="14">
        <v>393</v>
      </c>
      <c r="AS52" s="14">
        <v>412</v>
      </c>
      <c r="AT52" s="35">
        <v>151</v>
      </c>
      <c r="AU52" s="18">
        <v>8</v>
      </c>
      <c r="AV52" s="14">
        <v>11</v>
      </c>
      <c r="AW52" s="14">
        <v>11</v>
      </c>
      <c r="AX52" s="14">
        <v>13</v>
      </c>
      <c r="AY52" s="14">
        <v>8</v>
      </c>
      <c r="AZ52" s="14">
        <v>12</v>
      </c>
      <c r="BA52" s="14">
        <v>4</v>
      </c>
      <c r="BB52" s="34">
        <v>0.5</v>
      </c>
    </row>
    <row r="53" spans="2:54" ht="15" customHeight="1">
      <c r="B53" s="19" t="s">
        <v>87</v>
      </c>
      <c r="C53" s="20"/>
      <c r="D53" s="20"/>
      <c r="E53" s="21">
        <v>37</v>
      </c>
      <c r="F53" s="18">
        <v>333</v>
      </c>
      <c r="G53" s="14">
        <v>318</v>
      </c>
      <c r="H53" s="14">
        <v>306</v>
      </c>
      <c r="I53" s="14">
        <v>304</v>
      </c>
      <c r="J53" s="14">
        <v>321</v>
      </c>
      <c r="K53" s="14">
        <v>337</v>
      </c>
      <c r="L53" s="14">
        <v>372</v>
      </c>
      <c r="M53" s="14">
        <v>394</v>
      </c>
      <c r="N53" s="14">
        <v>88</v>
      </c>
      <c r="O53" s="15">
        <v>0.2875816993464052</v>
      </c>
      <c r="P53" s="25">
        <v>-0.08708708708708708</v>
      </c>
      <c r="Q53" s="23">
        <v>189</v>
      </c>
      <c r="R53" s="14">
        <v>137</v>
      </c>
      <c r="S53" s="14">
        <v>89</v>
      </c>
      <c r="T53" s="14">
        <v>86</v>
      </c>
      <c r="U53" s="17">
        <v>86</v>
      </c>
      <c r="V53" s="17">
        <v>79</v>
      </c>
      <c r="W53" s="17">
        <v>85</v>
      </c>
      <c r="X53" s="17">
        <v>87</v>
      </c>
      <c r="Y53" s="14">
        <v>-2</v>
      </c>
      <c r="Z53" s="15">
        <v>-0.544973544973545</v>
      </c>
      <c r="AA53" s="25"/>
      <c r="AB53" s="18">
        <v>510</v>
      </c>
      <c r="AC53" s="14">
        <v>358</v>
      </c>
      <c r="AD53" s="14">
        <v>216</v>
      </c>
      <c r="AE53" s="14">
        <v>207</v>
      </c>
      <c r="AF53" s="14">
        <v>24</v>
      </c>
      <c r="AG53" s="14">
        <v>175</v>
      </c>
      <c r="AH53" s="14">
        <v>189</v>
      </c>
      <c r="AI53" s="14">
        <v>196</v>
      </c>
      <c r="AJ53" s="14">
        <v>-20</v>
      </c>
      <c r="AK53" s="15">
        <v>-0.5941176470588235</v>
      </c>
      <c r="AL53" s="26"/>
      <c r="AM53" s="18">
        <v>1283</v>
      </c>
      <c r="AN53" s="14">
        <v>1294</v>
      </c>
      <c r="AO53" s="14">
        <v>1295</v>
      </c>
      <c r="AP53" s="14">
        <v>1340</v>
      </c>
      <c r="AQ53" s="14">
        <v>1515</v>
      </c>
      <c r="AR53" s="14">
        <v>1576</v>
      </c>
      <c r="AS53" s="14">
        <v>1705</v>
      </c>
      <c r="AT53" s="35">
        <v>411</v>
      </c>
      <c r="AU53" s="18">
        <v>51</v>
      </c>
      <c r="AV53" s="14">
        <v>67</v>
      </c>
      <c r="AW53" s="14">
        <v>91</v>
      </c>
      <c r="AX53" s="14">
        <v>112</v>
      </c>
      <c r="AY53" s="14">
        <v>105</v>
      </c>
      <c r="AZ53" s="14">
        <v>129</v>
      </c>
      <c r="BA53" s="14">
        <v>78</v>
      </c>
      <c r="BB53" s="34">
        <v>1.5294117647058822</v>
      </c>
    </row>
    <row r="54" spans="2:54" ht="15" customHeight="1">
      <c r="B54" s="19" t="s">
        <v>88</v>
      </c>
      <c r="C54" s="20">
        <v>1</v>
      </c>
      <c r="D54" s="20" t="s">
        <v>75</v>
      </c>
      <c r="E54" s="22">
        <v>38</v>
      </c>
      <c r="F54" s="18">
        <v>14</v>
      </c>
      <c r="G54" s="14">
        <v>15</v>
      </c>
      <c r="H54" s="14">
        <v>15</v>
      </c>
      <c r="I54" s="14">
        <v>12</v>
      </c>
      <c r="J54" s="14">
        <v>13</v>
      </c>
      <c r="K54" s="14">
        <v>16</v>
      </c>
      <c r="L54" s="14">
        <v>19</v>
      </c>
      <c r="M54" s="14">
        <v>18</v>
      </c>
      <c r="N54" s="14">
        <v>3</v>
      </c>
      <c r="O54" s="15">
        <v>0.2</v>
      </c>
      <c r="P54" s="25">
        <v>-0.14285714285714285</v>
      </c>
      <c r="Q54" s="23">
        <v>11</v>
      </c>
      <c r="R54" s="14">
        <v>9</v>
      </c>
      <c r="S54" s="14">
        <v>11</v>
      </c>
      <c r="T54" s="14">
        <v>11</v>
      </c>
      <c r="U54" s="17">
        <v>10</v>
      </c>
      <c r="V54" s="17">
        <v>7</v>
      </c>
      <c r="W54" s="17">
        <v>4</v>
      </c>
      <c r="X54" s="17">
        <v>1</v>
      </c>
      <c r="Y54" s="14">
        <v>-10</v>
      </c>
      <c r="Z54" s="15">
        <v>0</v>
      </c>
      <c r="AA54" s="25"/>
      <c r="AB54" s="18">
        <v>30</v>
      </c>
      <c r="AC54" s="14">
        <v>16</v>
      </c>
      <c r="AD54" s="14">
        <v>20</v>
      </c>
      <c r="AE54" s="14">
        <v>22</v>
      </c>
      <c r="AF54" s="14">
        <v>194</v>
      </c>
      <c r="AG54" s="14">
        <v>17</v>
      </c>
      <c r="AH54" s="14">
        <v>10</v>
      </c>
      <c r="AI54" s="14">
        <v>1</v>
      </c>
      <c r="AJ54" s="14">
        <v>-19</v>
      </c>
      <c r="AK54" s="15">
        <v>-0.26666666666666666</v>
      </c>
      <c r="AL54" s="26"/>
      <c r="AM54" s="18">
        <v>186</v>
      </c>
      <c r="AN54" s="14">
        <v>198</v>
      </c>
      <c r="AO54" s="14">
        <v>207</v>
      </c>
      <c r="AP54" s="14">
        <v>209</v>
      </c>
      <c r="AQ54" s="14">
        <v>250</v>
      </c>
      <c r="AR54" s="14">
        <v>272</v>
      </c>
      <c r="AS54" s="14">
        <v>286</v>
      </c>
      <c r="AT54" s="35">
        <v>88</v>
      </c>
      <c r="AU54" s="18">
        <v>2</v>
      </c>
      <c r="AV54" s="14">
        <v>3</v>
      </c>
      <c r="AW54" s="14">
        <v>7</v>
      </c>
      <c r="AX54" s="14">
        <v>9</v>
      </c>
      <c r="AY54" s="14">
        <v>12</v>
      </c>
      <c r="AZ54" s="14">
        <v>10</v>
      </c>
      <c r="BA54" s="14">
        <v>8</v>
      </c>
      <c r="BB54" s="34">
        <v>4</v>
      </c>
    </row>
    <row r="55" spans="2:54" ht="15" customHeight="1">
      <c r="B55" s="19" t="s">
        <v>89</v>
      </c>
      <c r="C55" s="20"/>
      <c r="D55" s="20"/>
      <c r="E55" s="21">
        <v>40</v>
      </c>
      <c r="F55" s="18">
        <v>29</v>
      </c>
      <c r="G55" s="14">
        <v>24</v>
      </c>
      <c r="H55" s="14">
        <v>23</v>
      </c>
      <c r="I55" s="14">
        <v>20</v>
      </c>
      <c r="J55" s="14">
        <v>22</v>
      </c>
      <c r="K55" s="14">
        <v>27</v>
      </c>
      <c r="L55" s="14">
        <v>27</v>
      </c>
      <c r="M55" s="14">
        <v>30</v>
      </c>
      <c r="N55" s="14">
        <v>7</v>
      </c>
      <c r="O55" s="15">
        <v>0.30434782608695654</v>
      </c>
      <c r="P55" s="25">
        <v>-0.3103448275862069</v>
      </c>
      <c r="Q55" s="23">
        <v>14</v>
      </c>
      <c r="R55" s="14">
        <v>8</v>
      </c>
      <c r="S55" s="14">
        <v>6</v>
      </c>
      <c r="T55" s="14">
        <v>4</v>
      </c>
      <c r="U55" s="17">
        <v>5</v>
      </c>
      <c r="V55" s="17">
        <v>8</v>
      </c>
      <c r="W55" s="17">
        <v>6</v>
      </c>
      <c r="X55" s="17">
        <v>6</v>
      </c>
      <c r="Y55" s="14">
        <v>0</v>
      </c>
      <c r="Z55" s="15">
        <v>-0.7142857142857143</v>
      </c>
      <c r="AA55" s="25"/>
      <c r="AB55" s="18">
        <v>40</v>
      </c>
      <c r="AC55" s="14">
        <v>25</v>
      </c>
      <c r="AD55" s="14">
        <v>19</v>
      </c>
      <c r="AE55" s="14">
        <v>16</v>
      </c>
      <c r="AF55" s="14">
        <v>21</v>
      </c>
      <c r="AG55" s="14">
        <v>20</v>
      </c>
      <c r="AH55" s="14">
        <v>15</v>
      </c>
      <c r="AI55" s="14">
        <v>15</v>
      </c>
      <c r="AJ55" s="14">
        <v>-4</v>
      </c>
      <c r="AK55" s="15">
        <v>-0.6</v>
      </c>
      <c r="AL55" s="26"/>
      <c r="AM55" s="18">
        <v>87</v>
      </c>
      <c r="AN55" s="14">
        <v>98</v>
      </c>
      <c r="AO55" s="14">
        <v>113</v>
      </c>
      <c r="AP55" s="14">
        <v>126</v>
      </c>
      <c r="AQ55" s="14">
        <v>168</v>
      </c>
      <c r="AR55" s="14">
        <v>196</v>
      </c>
      <c r="AS55" s="14">
        <v>202</v>
      </c>
      <c r="AT55" s="35">
        <v>104</v>
      </c>
      <c r="AU55" s="18">
        <v>2</v>
      </c>
      <c r="AV55" s="14">
        <v>3</v>
      </c>
      <c r="AW55" s="14">
        <v>2</v>
      </c>
      <c r="AX55" s="14">
        <v>6</v>
      </c>
      <c r="AY55" s="14">
        <v>7</v>
      </c>
      <c r="AZ55" s="14">
        <v>7</v>
      </c>
      <c r="BA55" s="14">
        <v>5</v>
      </c>
      <c r="BB55" s="34">
        <v>2.5</v>
      </c>
    </row>
    <row r="56" spans="2:54" ht="15" customHeight="1">
      <c r="B56" s="19" t="s">
        <v>90</v>
      </c>
      <c r="C56" s="20"/>
      <c r="D56" s="20"/>
      <c r="E56" s="22">
        <v>41</v>
      </c>
      <c r="F56" s="18">
        <v>51</v>
      </c>
      <c r="G56" s="14">
        <v>45</v>
      </c>
      <c r="H56" s="14">
        <v>40</v>
      </c>
      <c r="I56" s="14">
        <v>43</v>
      </c>
      <c r="J56" s="14">
        <v>42</v>
      </c>
      <c r="K56" s="14">
        <v>36</v>
      </c>
      <c r="L56" s="14">
        <v>42</v>
      </c>
      <c r="M56" s="14">
        <v>48</v>
      </c>
      <c r="N56" s="14">
        <v>8</v>
      </c>
      <c r="O56" s="15">
        <v>0.2</v>
      </c>
      <c r="P56" s="25">
        <v>-0.1568627450980392</v>
      </c>
      <c r="Q56" s="23">
        <v>26</v>
      </c>
      <c r="R56" s="14">
        <v>18</v>
      </c>
      <c r="S56" s="14">
        <v>15</v>
      </c>
      <c r="T56" s="14">
        <v>14</v>
      </c>
      <c r="U56" s="17">
        <v>13</v>
      </c>
      <c r="V56" s="17">
        <v>12</v>
      </c>
      <c r="W56" s="17">
        <v>13</v>
      </c>
      <c r="X56" s="17">
        <v>9</v>
      </c>
      <c r="Y56" s="14">
        <v>-6</v>
      </c>
      <c r="Z56" s="15">
        <v>-0.46153846153846156</v>
      </c>
      <c r="AA56" s="25"/>
      <c r="AB56" s="18">
        <v>63</v>
      </c>
      <c r="AC56" s="14">
        <v>36</v>
      </c>
      <c r="AD56" s="14">
        <v>30</v>
      </c>
      <c r="AE56" s="14">
        <v>29</v>
      </c>
      <c r="AF56" s="14">
        <v>18</v>
      </c>
      <c r="AG56" s="14">
        <v>23</v>
      </c>
      <c r="AH56" s="14">
        <v>28</v>
      </c>
      <c r="AI56" s="14">
        <v>22</v>
      </c>
      <c r="AJ56" s="14">
        <v>-8</v>
      </c>
      <c r="AK56" s="15">
        <v>-0.5396825396825397</v>
      </c>
      <c r="AL56" s="26"/>
      <c r="AM56" s="18">
        <v>313</v>
      </c>
      <c r="AN56" s="14">
        <v>329</v>
      </c>
      <c r="AO56" s="14">
        <v>314</v>
      </c>
      <c r="AP56" s="14">
        <v>317</v>
      </c>
      <c r="AQ56" s="14">
        <v>399</v>
      </c>
      <c r="AR56" s="14">
        <v>433</v>
      </c>
      <c r="AS56" s="14">
        <v>471</v>
      </c>
      <c r="AT56" s="35">
        <v>142</v>
      </c>
      <c r="AU56" s="18">
        <v>6</v>
      </c>
      <c r="AV56" s="14">
        <v>10</v>
      </c>
      <c r="AW56" s="14">
        <v>10</v>
      </c>
      <c r="AX56" s="14">
        <v>12</v>
      </c>
      <c r="AY56" s="14">
        <v>21</v>
      </c>
      <c r="AZ56" s="14">
        <v>17</v>
      </c>
      <c r="BA56" s="14">
        <v>11</v>
      </c>
      <c r="BB56" s="34">
        <v>1.8333333333333333</v>
      </c>
    </row>
    <row r="57" spans="2:54" ht="15" customHeight="1">
      <c r="B57" s="19" t="s">
        <v>91</v>
      </c>
      <c r="C57" s="20"/>
      <c r="D57" s="20"/>
      <c r="E57" s="22">
        <v>42</v>
      </c>
      <c r="F57" s="18">
        <v>67</v>
      </c>
      <c r="G57" s="14">
        <v>65</v>
      </c>
      <c r="H57" s="14">
        <v>67</v>
      </c>
      <c r="I57" s="14">
        <v>65</v>
      </c>
      <c r="J57" s="14">
        <v>66</v>
      </c>
      <c r="K57" s="14">
        <v>63</v>
      </c>
      <c r="L57" s="14">
        <v>82</v>
      </c>
      <c r="M57" s="14">
        <v>90</v>
      </c>
      <c r="N57" s="14">
        <v>23</v>
      </c>
      <c r="O57" s="15">
        <v>0.34328358208955223</v>
      </c>
      <c r="P57" s="25">
        <v>-0.029850746268656716</v>
      </c>
      <c r="Q57" s="23">
        <v>33</v>
      </c>
      <c r="R57" s="14">
        <v>22</v>
      </c>
      <c r="S57" s="14">
        <v>19</v>
      </c>
      <c r="T57" s="14">
        <v>19</v>
      </c>
      <c r="U57" s="17">
        <v>16</v>
      </c>
      <c r="V57" s="17">
        <v>17</v>
      </c>
      <c r="W57" s="17">
        <v>23</v>
      </c>
      <c r="X57" s="17">
        <v>15</v>
      </c>
      <c r="Y57" s="14">
        <v>-4</v>
      </c>
      <c r="Z57" s="15">
        <v>-0.42424242424242425</v>
      </c>
      <c r="AA57" s="25"/>
      <c r="AB57" s="18">
        <v>83</v>
      </c>
      <c r="AC57" s="14">
        <v>57</v>
      </c>
      <c r="AD57" s="14">
        <v>47</v>
      </c>
      <c r="AE57" s="14">
        <v>43</v>
      </c>
      <c r="AF57" s="14">
        <v>27</v>
      </c>
      <c r="AG57" s="14">
        <v>38</v>
      </c>
      <c r="AH57" s="14">
        <v>46</v>
      </c>
      <c r="AI57" s="14">
        <v>34</v>
      </c>
      <c r="AJ57" s="14">
        <v>-13</v>
      </c>
      <c r="AK57" s="15">
        <v>-0.4819277108433735</v>
      </c>
      <c r="AL57" s="26"/>
      <c r="AM57" s="18">
        <v>398</v>
      </c>
      <c r="AN57" s="14">
        <v>444</v>
      </c>
      <c r="AO57" s="14">
        <v>477</v>
      </c>
      <c r="AP57" s="14">
        <v>493</v>
      </c>
      <c r="AQ57" s="14">
        <v>595</v>
      </c>
      <c r="AR57" s="14">
        <v>680</v>
      </c>
      <c r="AS57" s="14">
        <v>671</v>
      </c>
      <c r="AT57" s="35">
        <v>227</v>
      </c>
      <c r="AU57" s="18">
        <v>17</v>
      </c>
      <c r="AV57" s="14">
        <v>21</v>
      </c>
      <c r="AW57" s="14">
        <v>21</v>
      </c>
      <c r="AX57" s="14">
        <v>30</v>
      </c>
      <c r="AY57" s="14">
        <v>31</v>
      </c>
      <c r="AZ57" s="14">
        <v>38</v>
      </c>
      <c r="BA57" s="14">
        <v>21</v>
      </c>
      <c r="BB57" s="34">
        <v>1.2352941176470589</v>
      </c>
    </row>
    <row r="58" spans="2:54" ht="15" customHeight="1">
      <c r="B58" s="19" t="s">
        <v>92</v>
      </c>
      <c r="C58" s="20"/>
      <c r="D58" s="20"/>
      <c r="E58" s="21">
        <v>43</v>
      </c>
      <c r="F58" s="18">
        <v>1961</v>
      </c>
      <c r="G58" s="14">
        <v>1883</v>
      </c>
      <c r="H58" s="14">
        <v>1753</v>
      </c>
      <c r="I58" s="14">
        <v>1658</v>
      </c>
      <c r="J58" s="14">
        <v>1649</v>
      </c>
      <c r="K58" s="14">
        <v>1735</v>
      </c>
      <c r="L58" s="14">
        <v>1989</v>
      </c>
      <c r="M58" s="14">
        <v>2271</v>
      </c>
      <c r="N58" s="14">
        <v>518</v>
      </c>
      <c r="O58" s="15">
        <v>0.2954934398174558</v>
      </c>
      <c r="P58" s="25">
        <v>-0.15451300356960734</v>
      </c>
      <c r="Q58" s="23">
        <v>1108</v>
      </c>
      <c r="R58" s="14">
        <v>833</v>
      </c>
      <c r="S58" s="14">
        <v>699</v>
      </c>
      <c r="T58" s="14">
        <v>595</v>
      </c>
      <c r="U58" s="17">
        <v>550</v>
      </c>
      <c r="V58" s="17">
        <v>494</v>
      </c>
      <c r="W58" s="17">
        <v>527</v>
      </c>
      <c r="X58" s="17">
        <v>516</v>
      </c>
      <c r="Y58" s="14">
        <v>-183</v>
      </c>
      <c r="Z58" s="15">
        <v>-0.4629963898916967</v>
      </c>
      <c r="AA58" s="25"/>
      <c r="AB58" s="18">
        <v>2870</v>
      </c>
      <c r="AC58" s="14">
        <v>2053</v>
      </c>
      <c r="AD58" s="14">
        <v>1665</v>
      </c>
      <c r="AE58" s="14">
        <v>1367</v>
      </c>
      <c r="AF58" s="14">
        <v>35</v>
      </c>
      <c r="AG58" s="14">
        <v>1075</v>
      </c>
      <c r="AH58" s="14">
        <v>1141</v>
      </c>
      <c r="AI58" s="14">
        <v>1087</v>
      </c>
      <c r="AJ58" s="14">
        <v>-578</v>
      </c>
      <c r="AK58" s="15">
        <v>-0.5236933797909408</v>
      </c>
      <c r="AL58" s="26"/>
      <c r="AM58" s="18">
        <v>6626</v>
      </c>
      <c r="AN58" s="14">
        <v>6951</v>
      </c>
      <c r="AO58" s="14">
        <v>7210</v>
      </c>
      <c r="AP58" s="14">
        <v>7214</v>
      </c>
      <c r="AQ58" s="14">
        <v>7892</v>
      </c>
      <c r="AR58" s="14">
        <v>8401</v>
      </c>
      <c r="AS58" s="14">
        <v>8812</v>
      </c>
      <c r="AT58" s="35">
        <v>1861</v>
      </c>
      <c r="AU58" s="18">
        <v>294</v>
      </c>
      <c r="AV58" s="14">
        <v>352</v>
      </c>
      <c r="AW58" s="14">
        <v>373</v>
      </c>
      <c r="AX58" s="14">
        <v>423</v>
      </c>
      <c r="AY58" s="14">
        <v>495</v>
      </c>
      <c r="AZ58" s="14">
        <v>564</v>
      </c>
      <c r="BA58" s="14">
        <v>270</v>
      </c>
      <c r="BB58" s="34">
        <v>0.9183673469387755</v>
      </c>
    </row>
    <row r="59" spans="2:54" ht="15" customHeight="1">
      <c r="B59" s="19" t="s">
        <v>93</v>
      </c>
      <c r="C59" s="20"/>
      <c r="D59" s="20"/>
      <c r="E59" s="22">
        <v>44</v>
      </c>
      <c r="F59" s="18">
        <v>642</v>
      </c>
      <c r="G59" s="14">
        <v>619</v>
      </c>
      <c r="H59" s="14">
        <v>609</v>
      </c>
      <c r="I59" s="14">
        <v>573</v>
      </c>
      <c r="J59" s="14">
        <v>560</v>
      </c>
      <c r="K59" s="14">
        <v>584</v>
      </c>
      <c r="L59" s="14">
        <v>618</v>
      </c>
      <c r="M59" s="14">
        <v>674</v>
      </c>
      <c r="N59" s="14">
        <v>65</v>
      </c>
      <c r="O59" s="15">
        <v>0.10673234811165845</v>
      </c>
      <c r="P59" s="25">
        <v>-0.10747663551401869</v>
      </c>
      <c r="Q59" s="23">
        <v>302</v>
      </c>
      <c r="R59" s="14">
        <v>243</v>
      </c>
      <c r="S59" s="14">
        <v>190</v>
      </c>
      <c r="T59" s="14">
        <v>161</v>
      </c>
      <c r="U59" s="17">
        <v>145</v>
      </c>
      <c r="V59" s="17">
        <v>129</v>
      </c>
      <c r="W59" s="17">
        <v>143</v>
      </c>
      <c r="X59" s="17">
        <v>151</v>
      </c>
      <c r="Y59" s="14">
        <v>-39</v>
      </c>
      <c r="Z59" s="15">
        <v>-0.46688741721854304</v>
      </c>
      <c r="AA59" s="25"/>
      <c r="AB59" s="18">
        <v>730</v>
      </c>
      <c r="AC59" s="14">
        <v>552</v>
      </c>
      <c r="AD59" s="14">
        <v>416</v>
      </c>
      <c r="AE59" s="14">
        <v>364</v>
      </c>
      <c r="AF59" s="14">
        <v>1228</v>
      </c>
      <c r="AG59" s="14">
        <v>273</v>
      </c>
      <c r="AH59" s="14">
        <v>294</v>
      </c>
      <c r="AI59" s="14">
        <v>302</v>
      </c>
      <c r="AJ59" s="14">
        <v>-114</v>
      </c>
      <c r="AK59" s="15">
        <v>-0.5013698630136987</v>
      </c>
      <c r="AL59" s="26"/>
      <c r="AM59" s="18">
        <v>2082</v>
      </c>
      <c r="AN59" s="14">
        <v>2160</v>
      </c>
      <c r="AO59" s="14">
        <v>2204</v>
      </c>
      <c r="AP59" s="14">
        <v>2235</v>
      </c>
      <c r="AQ59" s="14">
        <v>2510</v>
      </c>
      <c r="AR59" s="14">
        <v>2728</v>
      </c>
      <c r="AS59" s="14">
        <v>2915</v>
      </c>
      <c r="AT59" s="35">
        <v>755</v>
      </c>
      <c r="AU59" s="18">
        <v>133</v>
      </c>
      <c r="AV59" s="14">
        <v>153</v>
      </c>
      <c r="AW59" s="14">
        <v>172</v>
      </c>
      <c r="AX59" s="14">
        <v>206</v>
      </c>
      <c r="AY59" s="14">
        <v>217</v>
      </c>
      <c r="AZ59" s="14">
        <v>246</v>
      </c>
      <c r="BA59" s="14">
        <v>113</v>
      </c>
      <c r="BB59" s="34">
        <v>0.849624060150376</v>
      </c>
    </row>
    <row r="60" spans="2:54" ht="15" customHeight="1">
      <c r="B60" s="19" t="s">
        <v>94</v>
      </c>
      <c r="C60" s="20"/>
      <c r="D60" s="20"/>
      <c r="E60" s="22">
        <v>45</v>
      </c>
      <c r="F60" s="18">
        <v>104</v>
      </c>
      <c r="G60" s="14">
        <v>85</v>
      </c>
      <c r="H60" s="14">
        <v>81</v>
      </c>
      <c r="I60" s="14">
        <v>90</v>
      </c>
      <c r="J60" s="14">
        <v>99</v>
      </c>
      <c r="K60" s="14">
        <v>101</v>
      </c>
      <c r="L60" s="14">
        <v>109</v>
      </c>
      <c r="M60" s="14">
        <v>109</v>
      </c>
      <c r="N60" s="14">
        <v>28</v>
      </c>
      <c r="O60" s="15">
        <v>0.345679012345679</v>
      </c>
      <c r="P60" s="25">
        <v>-0.1346153846153846</v>
      </c>
      <c r="Q60" s="23">
        <v>50</v>
      </c>
      <c r="R60" s="14">
        <v>32</v>
      </c>
      <c r="S60" s="14">
        <v>22</v>
      </c>
      <c r="T60" s="14">
        <v>25</v>
      </c>
      <c r="U60" s="17">
        <v>24</v>
      </c>
      <c r="V60" s="17">
        <v>23</v>
      </c>
      <c r="W60" s="17">
        <v>21</v>
      </c>
      <c r="X60" s="17">
        <v>19</v>
      </c>
      <c r="Y60" s="14">
        <v>-3</v>
      </c>
      <c r="Z60" s="15">
        <v>-0.5</v>
      </c>
      <c r="AA60" s="25"/>
      <c r="AB60" s="18">
        <v>118</v>
      </c>
      <c r="AC60" s="14">
        <v>68</v>
      </c>
      <c r="AD60" s="14">
        <v>44</v>
      </c>
      <c r="AE60" s="14">
        <v>62</v>
      </c>
      <c r="AF60" s="14">
        <v>325</v>
      </c>
      <c r="AG60" s="14">
        <v>51</v>
      </c>
      <c r="AH60" s="14">
        <v>44</v>
      </c>
      <c r="AI60" s="14">
        <v>39</v>
      </c>
      <c r="AJ60" s="14">
        <v>-5</v>
      </c>
      <c r="AK60" s="15">
        <v>-0.4745762711864407</v>
      </c>
      <c r="AL60" s="26"/>
      <c r="AM60" s="18">
        <v>535</v>
      </c>
      <c r="AN60" s="14">
        <v>550</v>
      </c>
      <c r="AO60" s="14">
        <v>581</v>
      </c>
      <c r="AP60" s="14">
        <v>601</v>
      </c>
      <c r="AQ60" s="14">
        <v>730</v>
      </c>
      <c r="AR60" s="14">
        <v>860</v>
      </c>
      <c r="AS60" s="14">
        <v>904</v>
      </c>
      <c r="AT60" s="35">
        <v>354</v>
      </c>
      <c r="AU60" s="18">
        <v>24</v>
      </c>
      <c r="AV60" s="14">
        <v>30</v>
      </c>
      <c r="AW60" s="14">
        <v>30</v>
      </c>
      <c r="AX60" s="14">
        <v>30</v>
      </c>
      <c r="AY60" s="14">
        <v>29</v>
      </c>
      <c r="AZ60" s="14">
        <v>31</v>
      </c>
      <c r="BA60" s="14">
        <v>7</v>
      </c>
      <c r="BB60" s="34">
        <v>0.2916666666666667</v>
      </c>
    </row>
    <row r="61" spans="2:54" ht="15" customHeight="1">
      <c r="B61" s="19" t="s">
        <v>95</v>
      </c>
      <c r="C61" s="20"/>
      <c r="D61" s="20"/>
      <c r="E61" s="22">
        <v>47</v>
      </c>
      <c r="F61" s="18">
        <v>134</v>
      </c>
      <c r="G61" s="14">
        <v>119</v>
      </c>
      <c r="H61" s="14">
        <v>99</v>
      </c>
      <c r="I61" s="14">
        <v>96</v>
      </c>
      <c r="J61" s="14">
        <v>128</v>
      </c>
      <c r="K61" s="14">
        <v>145</v>
      </c>
      <c r="L61" s="14">
        <v>153</v>
      </c>
      <c r="M61" s="14">
        <v>178</v>
      </c>
      <c r="N61" s="14">
        <v>79</v>
      </c>
      <c r="O61" s="15">
        <v>0.797979797979798</v>
      </c>
      <c r="P61" s="25">
        <v>-0.2835820895522388</v>
      </c>
      <c r="Q61" s="23">
        <v>59</v>
      </c>
      <c r="R61" s="14">
        <v>42</v>
      </c>
      <c r="S61" s="14">
        <v>24</v>
      </c>
      <c r="T61" s="14">
        <v>19</v>
      </c>
      <c r="U61" s="17">
        <v>42</v>
      </c>
      <c r="V61" s="17">
        <v>44</v>
      </c>
      <c r="W61" s="17">
        <v>36</v>
      </c>
      <c r="X61" s="17">
        <v>34</v>
      </c>
      <c r="Y61" s="14">
        <v>10</v>
      </c>
      <c r="Z61" s="15">
        <v>-0.6779661016949152</v>
      </c>
      <c r="AA61" s="25"/>
      <c r="AB61" s="18">
        <v>150</v>
      </c>
      <c r="AC61" s="14">
        <v>94</v>
      </c>
      <c r="AD61" s="14">
        <v>51</v>
      </c>
      <c r="AE61" s="14">
        <v>42</v>
      </c>
      <c r="AF61" s="14">
        <v>56</v>
      </c>
      <c r="AG61" s="14">
        <v>95</v>
      </c>
      <c r="AH61" s="14">
        <v>74</v>
      </c>
      <c r="AI61" s="14">
        <v>78</v>
      </c>
      <c r="AJ61" s="14">
        <v>27</v>
      </c>
      <c r="AK61" s="15">
        <v>-0.72</v>
      </c>
      <c r="AL61" s="26"/>
      <c r="AM61" s="18">
        <v>671</v>
      </c>
      <c r="AN61" s="14">
        <v>668</v>
      </c>
      <c r="AO61" s="14">
        <v>662</v>
      </c>
      <c r="AP61" s="14">
        <v>663</v>
      </c>
      <c r="AQ61" s="14">
        <v>893</v>
      </c>
      <c r="AR61" s="14">
        <v>1049</v>
      </c>
      <c r="AS61" s="14">
        <v>1090</v>
      </c>
      <c r="AT61" s="35">
        <v>422</v>
      </c>
      <c r="AU61" s="18">
        <v>19</v>
      </c>
      <c r="AV61" s="14">
        <v>21</v>
      </c>
      <c r="AW61" s="14">
        <v>21</v>
      </c>
      <c r="AX61" s="14">
        <v>29</v>
      </c>
      <c r="AY61" s="14">
        <v>35</v>
      </c>
      <c r="AZ61" s="14">
        <v>42</v>
      </c>
      <c r="BA61" s="14">
        <v>23</v>
      </c>
      <c r="BB61" s="34">
        <v>1.2105263157894737</v>
      </c>
    </row>
    <row r="62" spans="2:54" ht="15" customHeight="1">
      <c r="B62" s="19" t="s">
        <v>96</v>
      </c>
      <c r="C62" s="20">
        <v>1</v>
      </c>
      <c r="D62" s="20" t="s">
        <v>52</v>
      </c>
      <c r="E62" s="22">
        <v>39</v>
      </c>
      <c r="F62" s="18">
        <v>11</v>
      </c>
      <c r="G62" s="14">
        <v>11</v>
      </c>
      <c r="H62" s="14">
        <v>10</v>
      </c>
      <c r="I62" s="14">
        <v>11</v>
      </c>
      <c r="J62" s="14">
        <v>12</v>
      </c>
      <c r="K62" s="14">
        <v>9</v>
      </c>
      <c r="L62" s="14">
        <v>10</v>
      </c>
      <c r="M62" s="14">
        <v>11</v>
      </c>
      <c r="N62" s="14">
        <v>1</v>
      </c>
      <c r="O62" s="15">
        <v>0.1</v>
      </c>
      <c r="P62" s="25">
        <v>0</v>
      </c>
      <c r="Q62" s="23">
        <v>4</v>
      </c>
      <c r="R62" s="14">
        <v>3</v>
      </c>
      <c r="S62" s="14">
        <v>1</v>
      </c>
      <c r="T62" s="14">
        <v>0</v>
      </c>
      <c r="U62" s="17">
        <v>2</v>
      </c>
      <c r="V62" s="17">
        <v>0</v>
      </c>
      <c r="W62" s="17">
        <v>1</v>
      </c>
      <c r="X62" s="17">
        <v>1</v>
      </c>
      <c r="Y62" s="14">
        <v>0</v>
      </c>
      <c r="Z62" s="15">
        <v>-1</v>
      </c>
      <c r="AA62" s="25"/>
      <c r="AB62" s="18">
        <v>16</v>
      </c>
      <c r="AC62" s="14">
        <v>9</v>
      </c>
      <c r="AD62" s="14">
        <v>2</v>
      </c>
      <c r="AE62" s="14">
        <v>2</v>
      </c>
      <c r="AF62" s="14">
        <v>95</v>
      </c>
      <c r="AG62" s="14">
        <v>0</v>
      </c>
      <c r="AH62" s="14">
        <v>3</v>
      </c>
      <c r="AI62" s="14">
        <v>2</v>
      </c>
      <c r="AJ62" s="14">
        <v>0</v>
      </c>
      <c r="AK62" s="15">
        <v>-0.875</v>
      </c>
      <c r="AL62" s="26"/>
      <c r="AM62" s="18">
        <v>54</v>
      </c>
      <c r="AN62" s="14">
        <v>49</v>
      </c>
      <c r="AO62" s="14">
        <v>52</v>
      </c>
      <c r="AP62" s="14">
        <v>56</v>
      </c>
      <c r="AQ62" s="14">
        <v>75</v>
      </c>
      <c r="AR62" s="14">
        <v>70</v>
      </c>
      <c r="AS62" s="14">
        <v>62</v>
      </c>
      <c r="AT62" s="35">
        <v>13</v>
      </c>
      <c r="AU62" s="18">
        <v>2</v>
      </c>
      <c r="AV62" s="14">
        <v>4</v>
      </c>
      <c r="AW62" s="14">
        <v>3</v>
      </c>
      <c r="AX62" s="14">
        <v>4</v>
      </c>
      <c r="AY62" s="14">
        <v>4</v>
      </c>
      <c r="AZ62" s="14">
        <v>3</v>
      </c>
      <c r="BA62" s="14">
        <v>1</v>
      </c>
      <c r="BB62" s="34">
        <v>0.5</v>
      </c>
    </row>
    <row r="63" spans="2:54" ht="15" customHeight="1">
      <c r="B63" s="19" t="s">
        <v>105</v>
      </c>
      <c r="C63" s="20">
        <v>1</v>
      </c>
      <c r="D63" s="20" t="s">
        <v>47</v>
      </c>
      <c r="E63" s="21">
        <v>46</v>
      </c>
      <c r="F63" s="18">
        <v>4</v>
      </c>
      <c r="G63" s="14">
        <v>4</v>
      </c>
      <c r="H63" s="14">
        <v>4</v>
      </c>
      <c r="I63" s="14">
        <v>4</v>
      </c>
      <c r="J63" s="14">
        <v>7</v>
      </c>
      <c r="K63" s="14">
        <v>10</v>
      </c>
      <c r="L63" s="14">
        <v>10</v>
      </c>
      <c r="M63" s="14">
        <v>10</v>
      </c>
      <c r="N63" s="14">
        <v>6</v>
      </c>
      <c r="O63" s="15">
        <v>1.5</v>
      </c>
      <c r="P63" s="25">
        <v>0</v>
      </c>
      <c r="Q63" s="23"/>
      <c r="R63" s="14"/>
      <c r="S63" s="14"/>
      <c r="T63" s="14"/>
      <c r="U63" s="17">
        <v>1</v>
      </c>
      <c r="V63" s="17">
        <v>1</v>
      </c>
      <c r="W63" s="17">
        <v>1</v>
      </c>
      <c r="X63" s="17">
        <v>2</v>
      </c>
      <c r="Y63" s="14"/>
      <c r="Z63" s="15"/>
      <c r="AA63" s="25"/>
      <c r="AB63" s="18">
        <v>1</v>
      </c>
      <c r="AC63" s="14">
        <v>0</v>
      </c>
      <c r="AD63" s="14">
        <v>0</v>
      </c>
      <c r="AE63" s="14">
        <v>0</v>
      </c>
      <c r="AF63" s="14">
        <v>3</v>
      </c>
      <c r="AG63" s="14">
        <v>1</v>
      </c>
      <c r="AH63" s="14">
        <v>2</v>
      </c>
      <c r="AI63" s="14">
        <v>3</v>
      </c>
      <c r="AJ63" s="14">
        <v>3</v>
      </c>
      <c r="AK63" s="15">
        <v>-1</v>
      </c>
      <c r="AL63" s="26"/>
      <c r="AM63" s="18">
        <v>43</v>
      </c>
      <c r="AN63" s="14">
        <v>45</v>
      </c>
      <c r="AO63" s="14">
        <v>44</v>
      </c>
      <c r="AP63" s="14">
        <v>48</v>
      </c>
      <c r="AQ63" s="14">
        <v>71</v>
      </c>
      <c r="AR63" s="14">
        <v>86</v>
      </c>
      <c r="AS63" s="14">
        <v>106</v>
      </c>
      <c r="AT63" s="35">
        <v>61</v>
      </c>
      <c r="AU63" s="18">
        <v>2</v>
      </c>
      <c r="AV63" s="14">
        <v>4</v>
      </c>
      <c r="AW63" s="14">
        <v>5</v>
      </c>
      <c r="AX63" s="14">
        <v>5</v>
      </c>
      <c r="AY63" s="14">
        <v>8</v>
      </c>
      <c r="AZ63" s="14">
        <v>5</v>
      </c>
      <c r="BA63" s="14">
        <v>3</v>
      </c>
      <c r="BB63" s="34">
        <v>1.5</v>
      </c>
    </row>
    <row r="64" spans="2:54" ht="15" customHeight="1">
      <c r="B64" s="19" t="s">
        <v>106</v>
      </c>
      <c r="C64" s="20"/>
      <c r="D64" s="20"/>
      <c r="E64" s="22">
        <v>48</v>
      </c>
      <c r="F64" s="18">
        <v>62</v>
      </c>
      <c r="G64" s="14">
        <v>65</v>
      </c>
      <c r="H64" s="14">
        <v>63</v>
      </c>
      <c r="I64" s="14">
        <v>66</v>
      </c>
      <c r="J64" s="14">
        <v>60</v>
      </c>
      <c r="K64" s="14">
        <v>64</v>
      </c>
      <c r="L64" s="14">
        <v>57</v>
      </c>
      <c r="M64" s="14">
        <v>89</v>
      </c>
      <c r="N64" s="14">
        <v>26</v>
      </c>
      <c r="O64" s="15">
        <v>0.4126984126984127</v>
      </c>
      <c r="P64" s="25">
        <v>0.06451612903225806</v>
      </c>
      <c r="Q64" s="23">
        <v>28</v>
      </c>
      <c r="R64" s="14">
        <v>20</v>
      </c>
      <c r="S64" s="14">
        <v>16</v>
      </c>
      <c r="T64" s="14">
        <v>22</v>
      </c>
      <c r="U64" s="17">
        <v>16</v>
      </c>
      <c r="V64" s="17">
        <v>11</v>
      </c>
      <c r="W64" s="17">
        <v>15</v>
      </c>
      <c r="X64" s="17">
        <v>13</v>
      </c>
      <c r="Y64" s="14">
        <v>-3</v>
      </c>
      <c r="Z64" s="15">
        <v>-0.21428571428571427</v>
      </c>
      <c r="AA64" s="25"/>
      <c r="AB64" s="18">
        <v>71</v>
      </c>
      <c r="AC64" s="14">
        <v>47</v>
      </c>
      <c r="AD64" s="14">
        <v>34</v>
      </c>
      <c r="AE64" s="14">
        <v>39</v>
      </c>
      <c r="AF64" s="14">
        <v>1</v>
      </c>
      <c r="AG64" s="14">
        <v>31</v>
      </c>
      <c r="AH64" s="14">
        <v>33</v>
      </c>
      <c r="AI64" s="14">
        <v>27</v>
      </c>
      <c r="AJ64" s="14">
        <v>-7</v>
      </c>
      <c r="AK64" s="15">
        <v>-0.4507042253521127</v>
      </c>
      <c r="AL64" s="26"/>
      <c r="AM64" s="18">
        <v>249</v>
      </c>
      <c r="AN64" s="14">
        <v>278</v>
      </c>
      <c r="AO64" s="14">
        <v>296</v>
      </c>
      <c r="AP64" s="14">
        <v>334</v>
      </c>
      <c r="AQ64" s="14">
        <v>416</v>
      </c>
      <c r="AR64" s="14">
        <v>459</v>
      </c>
      <c r="AS64" s="14">
        <v>495</v>
      </c>
      <c r="AT64" s="35">
        <v>217</v>
      </c>
      <c r="AU64" s="18">
        <v>14</v>
      </c>
      <c r="AV64" s="14">
        <v>16</v>
      </c>
      <c r="AW64" s="14">
        <v>15</v>
      </c>
      <c r="AX64" s="14">
        <v>28</v>
      </c>
      <c r="AY64" s="14">
        <v>25</v>
      </c>
      <c r="AZ64" s="14">
        <v>31</v>
      </c>
      <c r="BA64" s="14">
        <v>17</v>
      </c>
      <c r="BB64" s="34">
        <v>1.2142857142857142</v>
      </c>
    </row>
    <row r="65" spans="2:54" ht="15" customHeight="1">
      <c r="B65" s="19" t="s">
        <v>107</v>
      </c>
      <c r="C65" s="20"/>
      <c r="D65" s="20"/>
      <c r="E65" s="21">
        <v>49</v>
      </c>
      <c r="F65" s="18">
        <v>527</v>
      </c>
      <c r="G65" s="14">
        <v>474</v>
      </c>
      <c r="H65" s="14">
        <v>438</v>
      </c>
      <c r="I65" s="14">
        <v>408</v>
      </c>
      <c r="J65" s="14">
        <v>424</v>
      </c>
      <c r="K65" s="14">
        <v>477</v>
      </c>
      <c r="L65" s="14">
        <v>526</v>
      </c>
      <c r="M65" s="14">
        <v>643</v>
      </c>
      <c r="N65" s="14">
        <v>205</v>
      </c>
      <c r="O65" s="15">
        <v>0.4680365296803653</v>
      </c>
      <c r="P65" s="25">
        <v>-0.22580645161290322</v>
      </c>
      <c r="Q65" s="23">
        <v>323</v>
      </c>
      <c r="R65" s="14">
        <v>240</v>
      </c>
      <c r="S65" s="14">
        <v>184</v>
      </c>
      <c r="T65" s="14">
        <v>145</v>
      </c>
      <c r="U65" s="17">
        <v>135</v>
      </c>
      <c r="V65" s="17">
        <v>139</v>
      </c>
      <c r="W65" s="17">
        <v>160</v>
      </c>
      <c r="X65" s="17">
        <v>168</v>
      </c>
      <c r="Y65" s="14">
        <v>-16</v>
      </c>
      <c r="Z65" s="15">
        <v>-0.5510835913312694</v>
      </c>
      <c r="AA65" s="25"/>
      <c r="AB65" s="18">
        <v>830</v>
      </c>
      <c r="AC65" s="14">
        <v>586</v>
      </c>
      <c r="AD65" s="14">
        <v>445</v>
      </c>
      <c r="AE65" s="14">
        <v>353</v>
      </c>
      <c r="AF65" s="14">
        <v>30</v>
      </c>
      <c r="AG65" s="14">
        <v>319</v>
      </c>
      <c r="AH65" s="14">
        <v>375</v>
      </c>
      <c r="AI65" s="14">
        <v>378</v>
      </c>
      <c r="AJ65" s="14">
        <v>-67</v>
      </c>
      <c r="AK65" s="15">
        <v>-0.5746987951807229</v>
      </c>
      <c r="AL65" s="26"/>
      <c r="AM65" s="18">
        <v>2349</v>
      </c>
      <c r="AN65" s="14">
        <v>2442</v>
      </c>
      <c r="AO65" s="14">
        <v>2501</v>
      </c>
      <c r="AP65" s="14">
        <v>2595</v>
      </c>
      <c r="AQ65" s="14">
        <v>3010</v>
      </c>
      <c r="AR65" s="14">
        <v>3370</v>
      </c>
      <c r="AS65" s="14">
        <v>3542</v>
      </c>
      <c r="AT65" s="35">
        <v>1100</v>
      </c>
      <c r="AU65" s="18">
        <v>67</v>
      </c>
      <c r="AV65" s="14">
        <v>86</v>
      </c>
      <c r="AW65" s="14">
        <v>111</v>
      </c>
      <c r="AX65" s="14">
        <v>99</v>
      </c>
      <c r="AY65" s="14">
        <v>120</v>
      </c>
      <c r="AZ65" s="14">
        <v>160</v>
      </c>
      <c r="BA65" s="14">
        <v>93</v>
      </c>
      <c r="BB65" s="34">
        <v>1.3880597014925373</v>
      </c>
    </row>
    <row r="66" spans="2:54" ht="15" customHeight="1">
      <c r="B66" s="19" t="s">
        <v>108</v>
      </c>
      <c r="C66" s="20">
        <v>1</v>
      </c>
      <c r="D66" s="20" t="s">
        <v>75</v>
      </c>
      <c r="E66" s="22">
        <v>50</v>
      </c>
      <c r="F66" s="18">
        <v>24</v>
      </c>
      <c r="G66" s="14">
        <v>23</v>
      </c>
      <c r="H66" s="14">
        <v>27</v>
      </c>
      <c r="I66" s="14">
        <v>30</v>
      </c>
      <c r="J66" s="14">
        <v>25</v>
      </c>
      <c r="K66" s="14">
        <v>28</v>
      </c>
      <c r="L66" s="14">
        <v>33</v>
      </c>
      <c r="M66" s="14">
        <v>30</v>
      </c>
      <c r="N66" s="14">
        <v>3</v>
      </c>
      <c r="O66" s="15">
        <v>0.1111111111111111</v>
      </c>
      <c r="P66" s="25">
        <v>0.25</v>
      </c>
      <c r="Q66" s="23">
        <v>13</v>
      </c>
      <c r="R66" s="14">
        <v>7</v>
      </c>
      <c r="S66" s="14">
        <v>6</v>
      </c>
      <c r="T66" s="14">
        <v>5</v>
      </c>
      <c r="U66" s="17">
        <v>2</v>
      </c>
      <c r="V66" s="17">
        <v>2</v>
      </c>
      <c r="W66" s="17">
        <v>2</v>
      </c>
      <c r="X66" s="17">
        <v>2</v>
      </c>
      <c r="Y66" s="14">
        <v>-4</v>
      </c>
      <c r="Z66" s="15">
        <v>-0.6153846153846154</v>
      </c>
      <c r="AA66" s="25"/>
      <c r="AB66" s="18">
        <v>49</v>
      </c>
      <c r="AC66" s="14">
        <v>25</v>
      </c>
      <c r="AD66" s="14">
        <v>18</v>
      </c>
      <c r="AE66" s="14">
        <v>13</v>
      </c>
      <c r="AF66" s="14">
        <v>307</v>
      </c>
      <c r="AG66" s="14">
        <v>6</v>
      </c>
      <c r="AH66" s="14">
        <v>7</v>
      </c>
      <c r="AI66" s="14">
        <v>7</v>
      </c>
      <c r="AJ66" s="14">
        <v>-11</v>
      </c>
      <c r="AK66" s="15">
        <v>-0.7346938775510204</v>
      </c>
      <c r="AL66" s="26"/>
      <c r="AM66" s="18">
        <v>193</v>
      </c>
      <c r="AN66" s="14">
        <v>213</v>
      </c>
      <c r="AO66" s="14">
        <v>236</v>
      </c>
      <c r="AP66" s="14">
        <v>240</v>
      </c>
      <c r="AQ66" s="14">
        <v>266</v>
      </c>
      <c r="AR66" s="14">
        <v>293</v>
      </c>
      <c r="AS66" s="14">
        <v>301</v>
      </c>
      <c r="AT66" s="35">
        <v>88</v>
      </c>
      <c r="AU66" s="18">
        <v>4</v>
      </c>
      <c r="AV66" s="14">
        <v>4</v>
      </c>
      <c r="AW66" s="14">
        <v>7</v>
      </c>
      <c r="AX66" s="14">
        <v>12</v>
      </c>
      <c r="AY66" s="14">
        <v>9</v>
      </c>
      <c r="AZ66" s="14">
        <v>9</v>
      </c>
      <c r="BA66" s="14">
        <v>5</v>
      </c>
      <c r="BB66" s="34">
        <v>1.25</v>
      </c>
    </row>
    <row r="67" spans="2:54" ht="15" customHeight="1">
      <c r="B67" s="19" t="s">
        <v>109</v>
      </c>
      <c r="C67" s="20" t="s">
        <v>63</v>
      </c>
      <c r="D67" s="20"/>
      <c r="E67" s="22">
        <v>51</v>
      </c>
      <c r="F67" s="18">
        <v>207</v>
      </c>
      <c r="G67" s="14">
        <v>191</v>
      </c>
      <c r="H67" s="14">
        <v>189</v>
      </c>
      <c r="I67" s="14">
        <v>166</v>
      </c>
      <c r="J67" s="14">
        <v>163</v>
      </c>
      <c r="K67" s="14">
        <v>185</v>
      </c>
      <c r="L67" s="14">
        <v>230</v>
      </c>
      <c r="M67" s="14">
        <v>247</v>
      </c>
      <c r="N67" s="14">
        <v>58</v>
      </c>
      <c r="O67" s="15">
        <v>0.30687830687830686</v>
      </c>
      <c r="P67" s="25">
        <v>-0.19806763285024154</v>
      </c>
      <c r="Q67" s="23">
        <v>92</v>
      </c>
      <c r="R67" s="14">
        <v>65</v>
      </c>
      <c r="S67" s="14">
        <v>56</v>
      </c>
      <c r="T67" s="14">
        <v>47</v>
      </c>
      <c r="U67" s="17">
        <v>40</v>
      </c>
      <c r="V67" s="17">
        <v>33</v>
      </c>
      <c r="W67" s="17">
        <v>48</v>
      </c>
      <c r="X67" s="17">
        <v>48</v>
      </c>
      <c r="Y67" s="14">
        <v>-8</v>
      </c>
      <c r="Z67" s="15">
        <v>-0.4891304347826087</v>
      </c>
      <c r="AA67" s="25"/>
      <c r="AB67" s="18">
        <v>222</v>
      </c>
      <c r="AC67" s="14">
        <v>153</v>
      </c>
      <c r="AD67" s="14">
        <v>118</v>
      </c>
      <c r="AE67" s="14">
        <v>95</v>
      </c>
      <c r="AF67" s="14">
        <v>7</v>
      </c>
      <c r="AG67" s="14">
        <v>68</v>
      </c>
      <c r="AH67" s="14">
        <v>105</v>
      </c>
      <c r="AI67" s="14">
        <v>107</v>
      </c>
      <c r="AJ67" s="14">
        <v>-11</v>
      </c>
      <c r="AK67" s="15">
        <v>-0.5720720720720721</v>
      </c>
      <c r="AL67" s="26"/>
      <c r="AM67" s="18">
        <v>1423</v>
      </c>
      <c r="AN67" s="14">
        <v>1466</v>
      </c>
      <c r="AO67" s="14">
        <v>1545</v>
      </c>
      <c r="AP67" s="14">
        <v>1534</v>
      </c>
      <c r="AQ67" s="14">
        <v>1687</v>
      </c>
      <c r="AR67" s="14">
        <v>1856</v>
      </c>
      <c r="AS67" s="14">
        <v>1978</v>
      </c>
      <c r="AT67" s="35">
        <v>512</v>
      </c>
      <c r="AU67" s="18">
        <v>57</v>
      </c>
      <c r="AV67" s="14">
        <v>66</v>
      </c>
      <c r="AW67" s="14">
        <v>66</v>
      </c>
      <c r="AX67" s="14">
        <v>82</v>
      </c>
      <c r="AY67" s="14">
        <v>85</v>
      </c>
      <c r="AZ67" s="14">
        <v>100</v>
      </c>
      <c r="BA67" s="14">
        <v>43</v>
      </c>
      <c r="BB67" s="34">
        <v>0.7543859649122807</v>
      </c>
    </row>
    <row r="68" spans="2:54" ht="15" customHeight="1">
      <c r="B68" s="19" t="s">
        <v>110</v>
      </c>
      <c r="C68" s="20"/>
      <c r="D68" s="20"/>
      <c r="E68" s="21">
        <v>52</v>
      </c>
      <c r="F68" s="18">
        <v>148</v>
      </c>
      <c r="G68" s="14">
        <v>158</v>
      </c>
      <c r="H68" s="14">
        <v>155</v>
      </c>
      <c r="I68" s="14">
        <v>150</v>
      </c>
      <c r="J68" s="14">
        <v>162</v>
      </c>
      <c r="K68" s="14">
        <v>178</v>
      </c>
      <c r="L68" s="14">
        <v>194</v>
      </c>
      <c r="M68" s="14">
        <v>210</v>
      </c>
      <c r="N68" s="14">
        <v>55</v>
      </c>
      <c r="O68" s="15">
        <v>0.3548387096774194</v>
      </c>
      <c r="P68" s="25">
        <v>0.013513513513513514</v>
      </c>
      <c r="Q68" s="23">
        <v>49</v>
      </c>
      <c r="R68" s="14">
        <v>34</v>
      </c>
      <c r="S68" s="14">
        <v>25</v>
      </c>
      <c r="T68" s="14">
        <v>22</v>
      </c>
      <c r="U68" s="17">
        <v>19</v>
      </c>
      <c r="V68" s="17">
        <v>21</v>
      </c>
      <c r="W68" s="17">
        <v>27</v>
      </c>
      <c r="X68" s="17">
        <v>24</v>
      </c>
      <c r="Y68" s="14">
        <v>-1</v>
      </c>
      <c r="Z68" s="15">
        <v>-0.5510204081632653</v>
      </c>
      <c r="AA68" s="25"/>
      <c r="AB68" s="18">
        <v>116</v>
      </c>
      <c r="AC68" s="14">
        <v>78</v>
      </c>
      <c r="AD68" s="14">
        <v>53</v>
      </c>
      <c r="AE68" s="14">
        <v>43</v>
      </c>
      <c r="AF68" s="14">
        <v>82</v>
      </c>
      <c r="AG68" s="14">
        <v>48</v>
      </c>
      <c r="AH68" s="14">
        <v>57</v>
      </c>
      <c r="AI68" s="14">
        <v>49</v>
      </c>
      <c r="AJ68" s="14">
        <v>-4</v>
      </c>
      <c r="AK68" s="15">
        <v>-0.6293103448275862</v>
      </c>
      <c r="AL68" s="26"/>
      <c r="AM68" s="18">
        <v>702</v>
      </c>
      <c r="AN68" s="14">
        <v>741</v>
      </c>
      <c r="AO68" s="14">
        <v>744</v>
      </c>
      <c r="AP68" s="14">
        <v>773</v>
      </c>
      <c r="AQ68" s="14">
        <v>903</v>
      </c>
      <c r="AR68" s="14">
        <v>981</v>
      </c>
      <c r="AS68" s="14">
        <v>1070</v>
      </c>
      <c r="AT68" s="35">
        <v>329</v>
      </c>
      <c r="AU68" s="18">
        <v>19</v>
      </c>
      <c r="AV68" s="14">
        <v>32</v>
      </c>
      <c r="AW68" s="14">
        <v>35</v>
      </c>
      <c r="AX68" s="14">
        <v>39</v>
      </c>
      <c r="AY68" s="14">
        <v>39</v>
      </c>
      <c r="AZ68" s="14">
        <v>41</v>
      </c>
      <c r="BA68" s="14">
        <v>22</v>
      </c>
      <c r="BB68" s="34">
        <v>1.1578947368421053</v>
      </c>
    </row>
    <row r="69" spans="2:54" ht="15" customHeight="1">
      <c r="B69" s="19" t="s">
        <v>111</v>
      </c>
      <c r="C69" s="20">
        <v>1</v>
      </c>
      <c r="D69" s="20" t="s">
        <v>47</v>
      </c>
      <c r="E69" s="22">
        <v>53</v>
      </c>
      <c r="F69" s="18">
        <v>5</v>
      </c>
      <c r="G69" s="14">
        <v>5</v>
      </c>
      <c r="H69" s="14">
        <v>6</v>
      </c>
      <c r="I69" s="14">
        <v>8</v>
      </c>
      <c r="J69" s="14">
        <v>7</v>
      </c>
      <c r="K69" s="14">
        <v>8</v>
      </c>
      <c r="L69" s="14">
        <v>13</v>
      </c>
      <c r="M69" s="14">
        <v>18</v>
      </c>
      <c r="N69" s="14">
        <v>12</v>
      </c>
      <c r="O69" s="15">
        <v>2</v>
      </c>
      <c r="P69" s="25">
        <v>0.6</v>
      </c>
      <c r="Q69" s="23">
        <v>4</v>
      </c>
      <c r="R69" s="14">
        <v>4</v>
      </c>
      <c r="S69" s="14">
        <v>3</v>
      </c>
      <c r="T69" s="14">
        <v>3</v>
      </c>
      <c r="U69" s="17">
        <v>1</v>
      </c>
      <c r="V69" s="17">
        <v>1</v>
      </c>
      <c r="W69" s="17">
        <v>4</v>
      </c>
      <c r="X69" s="17">
        <v>3</v>
      </c>
      <c r="Y69" s="14">
        <v>0</v>
      </c>
      <c r="Z69" s="15">
        <v>-0.25</v>
      </c>
      <c r="AA69" s="25"/>
      <c r="AB69" s="18">
        <v>11</v>
      </c>
      <c r="AC69" s="14">
        <v>12</v>
      </c>
      <c r="AD69" s="14">
        <v>9</v>
      </c>
      <c r="AE69" s="14">
        <v>8</v>
      </c>
      <c r="AF69" s="14">
        <v>44</v>
      </c>
      <c r="AG69" s="14">
        <v>4</v>
      </c>
      <c r="AH69" s="14">
        <v>10</v>
      </c>
      <c r="AI69" s="14">
        <v>7</v>
      </c>
      <c r="AJ69" s="14">
        <v>-2</v>
      </c>
      <c r="AK69" s="15">
        <v>-0.2727272727272727</v>
      </c>
      <c r="AL69" s="26"/>
      <c r="AM69" s="18">
        <v>47</v>
      </c>
      <c r="AN69" s="14">
        <v>56</v>
      </c>
      <c r="AO69" s="14">
        <v>66</v>
      </c>
      <c r="AP69" s="14">
        <v>75</v>
      </c>
      <c r="AQ69" s="14">
        <v>69</v>
      </c>
      <c r="AR69" s="14">
        <v>77</v>
      </c>
      <c r="AS69" s="14">
        <v>104</v>
      </c>
      <c r="AT69" s="35">
        <v>48</v>
      </c>
      <c r="AU69" s="18">
        <v>1</v>
      </c>
      <c r="AV69" s="14">
        <v>2</v>
      </c>
      <c r="AW69" s="14">
        <v>2</v>
      </c>
      <c r="AX69" s="14">
        <v>3</v>
      </c>
      <c r="AY69" s="14">
        <v>4</v>
      </c>
      <c r="AZ69" s="14">
        <v>6</v>
      </c>
      <c r="BA69" s="14">
        <v>5</v>
      </c>
      <c r="BB69" s="34">
        <v>5</v>
      </c>
    </row>
    <row r="70" spans="2:54" ht="15" customHeight="1">
      <c r="B70" s="19" t="s">
        <v>112</v>
      </c>
      <c r="C70" s="20"/>
      <c r="D70" s="20"/>
      <c r="E70" s="22">
        <v>54</v>
      </c>
      <c r="F70" s="18">
        <v>159</v>
      </c>
      <c r="G70" s="14">
        <v>148</v>
      </c>
      <c r="H70" s="14">
        <v>139</v>
      </c>
      <c r="I70" s="14">
        <v>126</v>
      </c>
      <c r="J70" s="14">
        <v>126</v>
      </c>
      <c r="K70" s="14">
        <v>122</v>
      </c>
      <c r="L70" s="14">
        <v>143</v>
      </c>
      <c r="M70" s="14">
        <v>171</v>
      </c>
      <c r="N70" s="14">
        <v>32</v>
      </c>
      <c r="O70" s="15">
        <v>0.2302158273381295</v>
      </c>
      <c r="P70" s="25">
        <v>-0.20754716981132076</v>
      </c>
      <c r="Q70" s="23">
        <v>70</v>
      </c>
      <c r="R70" s="14">
        <v>43</v>
      </c>
      <c r="S70" s="14">
        <v>34</v>
      </c>
      <c r="T70" s="14">
        <v>23</v>
      </c>
      <c r="U70" s="17">
        <v>25</v>
      </c>
      <c r="V70" s="17">
        <v>23</v>
      </c>
      <c r="W70" s="17">
        <v>23</v>
      </c>
      <c r="X70" s="17">
        <v>24</v>
      </c>
      <c r="Y70" s="14">
        <v>-10</v>
      </c>
      <c r="Z70" s="15">
        <v>-0.6714285714285714</v>
      </c>
      <c r="AA70" s="25"/>
      <c r="AB70" s="18">
        <v>186</v>
      </c>
      <c r="AC70" s="14">
        <v>103</v>
      </c>
      <c r="AD70" s="14">
        <v>75</v>
      </c>
      <c r="AE70" s="14">
        <v>47</v>
      </c>
      <c r="AF70" s="14">
        <v>2</v>
      </c>
      <c r="AG70" s="14">
        <v>45</v>
      </c>
      <c r="AH70" s="14">
        <v>52</v>
      </c>
      <c r="AI70" s="14">
        <v>55</v>
      </c>
      <c r="AJ70" s="14">
        <v>-20</v>
      </c>
      <c r="AK70" s="15">
        <v>-0.7473118279569892</v>
      </c>
      <c r="AL70" s="26"/>
      <c r="AM70" s="18">
        <v>749</v>
      </c>
      <c r="AN70" s="14">
        <v>785</v>
      </c>
      <c r="AO70" s="14">
        <v>821</v>
      </c>
      <c r="AP70" s="14">
        <v>817</v>
      </c>
      <c r="AQ70" s="14">
        <v>942</v>
      </c>
      <c r="AR70" s="14">
        <v>1030</v>
      </c>
      <c r="AS70" s="14">
        <v>1129</v>
      </c>
      <c r="AT70" s="35">
        <v>344</v>
      </c>
      <c r="AU70" s="18">
        <v>32</v>
      </c>
      <c r="AV70" s="14">
        <v>40</v>
      </c>
      <c r="AW70" s="14">
        <v>48</v>
      </c>
      <c r="AX70" s="14">
        <v>54</v>
      </c>
      <c r="AY70" s="14">
        <v>63</v>
      </c>
      <c r="AZ70" s="14">
        <v>63</v>
      </c>
      <c r="BA70" s="14">
        <v>31</v>
      </c>
      <c r="BB70" s="34">
        <v>0.96875</v>
      </c>
    </row>
    <row r="71" spans="2:54" ht="15" customHeight="1">
      <c r="B71" s="19" t="s">
        <v>113</v>
      </c>
      <c r="C71" s="20">
        <v>1</v>
      </c>
      <c r="D71" s="20" t="s">
        <v>52</v>
      </c>
      <c r="E71" s="21">
        <v>55</v>
      </c>
      <c r="F71" s="18">
        <v>12</v>
      </c>
      <c r="G71" s="14">
        <v>12</v>
      </c>
      <c r="H71" s="14">
        <v>15</v>
      </c>
      <c r="I71" s="14">
        <v>15</v>
      </c>
      <c r="J71" s="14">
        <v>14</v>
      </c>
      <c r="K71" s="14">
        <v>15</v>
      </c>
      <c r="L71" s="14">
        <v>17</v>
      </c>
      <c r="M71" s="14">
        <v>19</v>
      </c>
      <c r="N71" s="14">
        <v>4</v>
      </c>
      <c r="O71" s="15">
        <v>0.26666666666666666</v>
      </c>
      <c r="P71" s="25">
        <v>0.25</v>
      </c>
      <c r="Q71" s="23">
        <v>3</v>
      </c>
      <c r="R71" s="14">
        <v>2</v>
      </c>
      <c r="S71" s="14">
        <v>4</v>
      </c>
      <c r="T71" s="14">
        <v>3</v>
      </c>
      <c r="U71" s="17">
        <v>4</v>
      </c>
      <c r="V71" s="17">
        <v>3</v>
      </c>
      <c r="W71" s="17">
        <v>3</v>
      </c>
      <c r="X71" s="17">
        <v>2</v>
      </c>
      <c r="Y71" s="14">
        <v>-2</v>
      </c>
      <c r="Z71" s="15">
        <v>0</v>
      </c>
      <c r="AA71" s="25"/>
      <c r="AB71" s="18">
        <v>5</v>
      </c>
      <c r="AC71" s="14">
        <v>3</v>
      </c>
      <c r="AD71" s="14">
        <v>5</v>
      </c>
      <c r="AE71" s="14">
        <v>4</v>
      </c>
      <c r="AF71" s="14">
        <v>58</v>
      </c>
      <c r="AG71" s="14">
        <v>5</v>
      </c>
      <c r="AH71" s="14">
        <v>5</v>
      </c>
      <c r="AI71" s="14">
        <v>7</v>
      </c>
      <c r="AJ71" s="14">
        <v>2</v>
      </c>
      <c r="AK71" s="15">
        <v>-0.2</v>
      </c>
      <c r="AL71" s="26"/>
      <c r="AM71" s="18">
        <v>61</v>
      </c>
      <c r="AN71" s="14">
        <v>57</v>
      </c>
      <c r="AO71" s="14">
        <v>61</v>
      </c>
      <c r="AP71" s="14">
        <v>75</v>
      </c>
      <c r="AQ71" s="14">
        <v>101</v>
      </c>
      <c r="AR71" s="14">
        <v>116</v>
      </c>
      <c r="AS71" s="14">
        <v>128</v>
      </c>
      <c r="AT71" s="35">
        <v>71</v>
      </c>
      <c r="AU71" s="18">
        <v>3</v>
      </c>
      <c r="AV71" s="14">
        <v>3</v>
      </c>
      <c r="AW71" s="14">
        <v>4</v>
      </c>
      <c r="AX71" s="14">
        <v>6</v>
      </c>
      <c r="AY71" s="14">
        <v>5</v>
      </c>
      <c r="AZ71" s="14">
        <v>6</v>
      </c>
      <c r="BA71" s="14">
        <v>3</v>
      </c>
      <c r="BB71" s="34">
        <v>1</v>
      </c>
    </row>
    <row r="72" spans="2:54" ht="15" customHeight="1">
      <c r="B72" s="19" t="s">
        <v>114</v>
      </c>
      <c r="C72" s="20"/>
      <c r="D72" s="20"/>
      <c r="E72" s="22">
        <v>56</v>
      </c>
      <c r="F72" s="18">
        <v>43</v>
      </c>
      <c r="G72" s="14">
        <v>32</v>
      </c>
      <c r="H72" s="14">
        <v>25</v>
      </c>
      <c r="I72" s="14">
        <v>29</v>
      </c>
      <c r="J72" s="14">
        <v>26</v>
      </c>
      <c r="K72" s="14">
        <v>29</v>
      </c>
      <c r="L72" s="14">
        <v>40</v>
      </c>
      <c r="M72" s="14">
        <v>43</v>
      </c>
      <c r="N72" s="14">
        <v>18</v>
      </c>
      <c r="O72" s="15">
        <v>0.72</v>
      </c>
      <c r="P72" s="25">
        <v>-0.32558139534883723</v>
      </c>
      <c r="Q72" s="23">
        <v>18</v>
      </c>
      <c r="R72" s="14">
        <v>7</v>
      </c>
      <c r="S72" s="14">
        <v>3</v>
      </c>
      <c r="T72" s="14">
        <v>6</v>
      </c>
      <c r="U72" s="17">
        <v>5</v>
      </c>
      <c r="V72" s="17">
        <v>4</v>
      </c>
      <c r="W72" s="17">
        <v>6</v>
      </c>
      <c r="X72" s="17">
        <v>5</v>
      </c>
      <c r="Y72" s="14">
        <v>2</v>
      </c>
      <c r="Z72" s="15">
        <v>-0.6666666666666666</v>
      </c>
      <c r="AA72" s="25"/>
      <c r="AB72" s="18">
        <v>54</v>
      </c>
      <c r="AC72" s="14">
        <v>14</v>
      </c>
      <c r="AD72" s="14">
        <v>4</v>
      </c>
      <c r="AE72" s="14">
        <v>13</v>
      </c>
      <c r="AF72" s="14">
        <v>7</v>
      </c>
      <c r="AG72" s="14">
        <v>9</v>
      </c>
      <c r="AH72" s="14">
        <v>11</v>
      </c>
      <c r="AI72" s="14">
        <v>9</v>
      </c>
      <c r="AJ72" s="14">
        <v>5</v>
      </c>
      <c r="AK72" s="15">
        <v>-0.7592592592592593</v>
      </c>
      <c r="AL72" s="26"/>
      <c r="AM72" s="18">
        <v>251</v>
      </c>
      <c r="AN72" s="14">
        <v>246</v>
      </c>
      <c r="AO72" s="14">
        <v>241</v>
      </c>
      <c r="AP72" s="14">
        <v>246</v>
      </c>
      <c r="AQ72" s="14">
        <v>282</v>
      </c>
      <c r="AR72" s="14">
        <v>333</v>
      </c>
      <c r="AS72" s="14">
        <v>345</v>
      </c>
      <c r="AT72" s="35">
        <v>99</v>
      </c>
      <c r="AU72" s="18">
        <v>12</v>
      </c>
      <c r="AV72" s="14">
        <v>10</v>
      </c>
      <c r="AW72" s="14">
        <v>14</v>
      </c>
      <c r="AX72" s="14">
        <v>15</v>
      </c>
      <c r="AY72" s="14">
        <v>21</v>
      </c>
      <c r="AZ72" s="14">
        <v>23</v>
      </c>
      <c r="BA72" s="14">
        <v>11</v>
      </c>
      <c r="BB72" s="34">
        <v>0.9166666666666666</v>
      </c>
    </row>
    <row r="73" spans="2:54" ht="15" customHeight="1">
      <c r="B73" s="19" t="s">
        <v>115</v>
      </c>
      <c r="C73" s="20" t="s">
        <v>63</v>
      </c>
      <c r="D73" s="20"/>
      <c r="E73" s="22">
        <v>57</v>
      </c>
      <c r="F73" s="18">
        <v>240</v>
      </c>
      <c r="G73" s="14">
        <v>228</v>
      </c>
      <c r="H73" s="14">
        <v>211</v>
      </c>
      <c r="I73" s="14">
        <v>186</v>
      </c>
      <c r="J73" s="14">
        <v>188</v>
      </c>
      <c r="K73" s="14">
        <v>196</v>
      </c>
      <c r="L73" s="14">
        <v>217</v>
      </c>
      <c r="M73" s="14">
        <v>248</v>
      </c>
      <c r="N73" s="14">
        <v>37</v>
      </c>
      <c r="O73" s="15">
        <v>0.17535545023696683</v>
      </c>
      <c r="P73" s="25">
        <v>-0.225</v>
      </c>
      <c r="Q73" s="23">
        <v>117</v>
      </c>
      <c r="R73" s="14">
        <v>63</v>
      </c>
      <c r="S73" s="14">
        <v>48</v>
      </c>
      <c r="T73" s="14">
        <v>41</v>
      </c>
      <c r="U73" s="17">
        <v>39</v>
      </c>
      <c r="V73" s="17">
        <v>39</v>
      </c>
      <c r="W73" s="17">
        <v>48</v>
      </c>
      <c r="X73" s="17">
        <v>47</v>
      </c>
      <c r="Y73" s="14">
        <v>-1</v>
      </c>
      <c r="Z73" s="15">
        <v>-0.6495726495726496</v>
      </c>
      <c r="AA73" s="25"/>
      <c r="AB73" s="18">
        <v>277</v>
      </c>
      <c r="AC73" s="14">
        <v>140</v>
      </c>
      <c r="AD73" s="14">
        <v>101</v>
      </c>
      <c r="AE73" s="14">
        <v>80</v>
      </c>
      <c r="AF73" s="14">
        <v>12</v>
      </c>
      <c r="AG73" s="14">
        <v>80</v>
      </c>
      <c r="AH73" s="14">
        <v>98</v>
      </c>
      <c r="AI73" s="14">
        <v>92</v>
      </c>
      <c r="AJ73" s="14">
        <v>-9</v>
      </c>
      <c r="AK73" s="15">
        <v>-0.7111913357400722</v>
      </c>
      <c r="AL73" s="26"/>
      <c r="AM73" s="18">
        <v>1377</v>
      </c>
      <c r="AN73" s="14">
        <v>1387</v>
      </c>
      <c r="AO73" s="14">
        <v>1396</v>
      </c>
      <c r="AP73" s="14">
        <v>1407</v>
      </c>
      <c r="AQ73" s="14">
        <v>1510</v>
      </c>
      <c r="AR73" s="14">
        <v>1693</v>
      </c>
      <c r="AS73" s="14">
        <v>1782</v>
      </c>
      <c r="AT73" s="35">
        <v>395</v>
      </c>
      <c r="AU73" s="18">
        <v>46</v>
      </c>
      <c r="AV73" s="14">
        <v>42</v>
      </c>
      <c r="AW73" s="14">
        <v>41</v>
      </c>
      <c r="AX73" s="14">
        <v>42</v>
      </c>
      <c r="AY73" s="14">
        <v>47</v>
      </c>
      <c r="AZ73" s="14">
        <v>60</v>
      </c>
      <c r="BA73" s="14">
        <v>14</v>
      </c>
      <c r="BB73" s="34">
        <v>0.30434782608695654</v>
      </c>
    </row>
    <row r="74" spans="2:54" ht="15" customHeight="1">
      <c r="B74" s="19" t="s">
        <v>116</v>
      </c>
      <c r="C74" s="20"/>
      <c r="D74" s="20"/>
      <c r="E74" s="21">
        <v>58</v>
      </c>
      <c r="F74" s="18">
        <v>198</v>
      </c>
      <c r="G74" s="14">
        <v>180</v>
      </c>
      <c r="H74" s="14">
        <v>164</v>
      </c>
      <c r="I74" s="14">
        <v>163</v>
      </c>
      <c r="J74" s="14">
        <v>191</v>
      </c>
      <c r="K74" s="14">
        <v>209</v>
      </c>
      <c r="L74" s="14">
        <v>253</v>
      </c>
      <c r="M74" s="14">
        <v>273</v>
      </c>
      <c r="N74" s="14">
        <v>109</v>
      </c>
      <c r="O74" s="15">
        <v>0.6646341463414634</v>
      </c>
      <c r="P74" s="25">
        <v>-0.17676767676767677</v>
      </c>
      <c r="Q74" s="23">
        <v>106</v>
      </c>
      <c r="R74" s="14">
        <v>67</v>
      </c>
      <c r="S74" s="14">
        <v>45</v>
      </c>
      <c r="T74" s="14">
        <v>39</v>
      </c>
      <c r="U74" s="17">
        <v>42</v>
      </c>
      <c r="V74" s="17">
        <v>45</v>
      </c>
      <c r="W74" s="17">
        <v>51</v>
      </c>
      <c r="X74" s="17">
        <v>53</v>
      </c>
      <c r="Y74" s="14">
        <v>8</v>
      </c>
      <c r="Z74" s="15">
        <v>-0.6320754716981132</v>
      </c>
      <c r="AA74" s="25"/>
      <c r="AB74" s="18">
        <v>260</v>
      </c>
      <c r="AC74" s="14">
        <v>157</v>
      </c>
      <c r="AD74" s="14">
        <v>101</v>
      </c>
      <c r="AE74" s="14">
        <v>80</v>
      </c>
      <c r="AF74" s="14">
        <v>77</v>
      </c>
      <c r="AG74" s="14">
        <v>82</v>
      </c>
      <c r="AH74" s="14">
        <v>99</v>
      </c>
      <c r="AI74" s="14">
        <v>117</v>
      </c>
      <c r="AJ74" s="14">
        <v>16</v>
      </c>
      <c r="AK74" s="15">
        <v>-0.6923076923076923</v>
      </c>
      <c r="AL74" s="26"/>
      <c r="AM74" s="18">
        <v>759</v>
      </c>
      <c r="AN74" s="14">
        <v>784</v>
      </c>
      <c r="AO74" s="14">
        <v>802</v>
      </c>
      <c r="AP74" s="14">
        <v>801</v>
      </c>
      <c r="AQ74" s="14">
        <v>930</v>
      </c>
      <c r="AR74" s="14">
        <v>1114</v>
      </c>
      <c r="AS74" s="14">
        <v>1270</v>
      </c>
      <c r="AT74" s="35">
        <v>486</v>
      </c>
      <c r="AU74" s="18">
        <v>30</v>
      </c>
      <c r="AV74" s="14">
        <v>35</v>
      </c>
      <c r="AW74" s="14">
        <v>40</v>
      </c>
      <c r="AX74" s="14">
        <v>47</v>
      </c>
      <c r="AY74" s="14">
        <v>67</v>
      </c>
      <c r="AZ74" s="14">
        <v>76</v>
      </c>
      <c r="BA74" s="14">
        <v>46</v>
      </c>
      <c r="BB74" s="34">
        <v>1.5333333333333334</v>
      </c>
    </row>
    <row r="75" spans="2:54" ht="15" customHeight="1">
      <c r="B75" s="19" t="s">
        <v>117</v>
      </c>
      <c r="C75" s="20"/>
      <c r="D75" s="20"/>
      <c r="E75" s="22">
        <v>59</v>
      </c>
      <c r="F75" s="18">
        <v>646</v>
      </c>
      <c r="G75" s="14">
        <v>637</v>
      </c>
      <c r="H75" s="14">
        <v>607</v>
      </c>
      <c r="I75" s="14">
        <v>586</v>
      </c>
      <c r="J75" s="14">
        <v>586</v>
      </c>
      <c r="K75" s="14">
        <v>597</v>
      </c>
      <c r="L75" s="14">
        <v>646</v>
      </c>
      <c r="M75" s="14">
        <v>719</v>
      </c>
      <c r="N75" s="14">
        <v>112</v>
      </c>
      <c r="O75" s="15">
        <v>0.18451400329489293</v>
      </c>
      <c r="P75" s="25">
        <v>-0.09287925696594428</v>
      </c>
      <c r="Q75" s="23">
        <v>381</v>
      </c>
      <c r="R75" s="14">
        <v>288</v>
      </c>
      <c r="S75" s="14">
        <v>239</v>
      </c>
      <c r="T75" s="14">
        <v>224</v>
      </c>
      <c r="U75" s="17">
        <v>201</v>
      </c>
      <c r="V75" s="17">
        <v>175</v>
      </c>
      <c r="W75" s="17">
        <v>190</v>
      </c>
      <c r="X75" s="17">
        <v>208</v>
      </c>
      <c r="Y75" s="14">
        <v>-31</v>
      </c>
      <c r="Z75" s="15">
        <v>-0.4120734908136483</v>
      </c>
      <c r="AA75" s="25"/>
      <c r="AB75" s="18">
        <v>955</v>
      </c>
      <c r="AC75" s="14">
        <v>693</v>
      </c>
      <c r="AD75" s="14">
        <v>551</v>
      </c>
      <c r="AE75" s="14">
        <v>511</v>
      </c>
      <c r="AF75" s="14">
        <v>84</v>
      </c>
      <c r="AG75" s="14">
        <v>386</v>
      </c>
      <c r="AH75" s="14">
        <v>406</v>
      </c>
      <c r="AI75" s="14">
        <v>443</v>
      </c>
      <c r="AJ75" s="14">
        <v>-108</v>
      </c>
      <c r="AK75" s="15">
        <v>-0.4649214659685864</v>
      </c>
      <c r="AL75" s="26"/>
      <c r="AM75" s="18">
        <v>2565</v>
      </c>
      <c r="AN75" s="14">
        <v>2624</v>
      </c>
      <c r="AO75" s="14">
        <v>2805</v>
      </c>
      <c r="AP75" s="14">
        <v>2797</v>
      </c>
      <c r="AQ75" s="14">
        <v>3125</v>
      </c>
      <c r="AR75" s="14">
        <v>3139</v>
      </c>
      <c r="AS75" s="14">
        <v>3248</v>
      </c>
      <c r="AT75" s="35">
        <v>624</v>
      </c>
      <c r="AU75" s="18">
        <v>80</v>
      </c>
      <c r="AV75" s="14">
        <v>87</v>
      </c>
      <c r="AW75" s="14">
        <v>85</v>
      </c>
      <c r="AX75" s="14">
        <v>107</v>
      </c>
      <c r="AY75" s="14">
        <v>138</v>
      </c>
      <c r="AZ75" s="14">
        <v>152</v>
      </c>
      <c r="BA75" s="14">
        <v>72</v>
      </c>
      <c r="BB75" s="34">
        <v>0.9</v>
      </c>
    </row>
    <row r="76" spans="2:54" ht="15" customHeight="1">
      <c r="B76" s="19" t="s">
        <v>118</v>
      </c>
      <c r="C76" s="20"/>
      <c r="D76" s="20"/>
      <c r="E76" s="22">
        <v>60</v>
      </c>
      <c r="F76" s="18">
        <v>89</v>
      </c>
      <c r="G76" s="14">
        <v>94</v>
      </c>
      <c r="H76" s="14">
        <v>85</v>
      </c>
      <c r="I76" s="14">
        <v>73</v>
      </c>
      <c r="J76" s="14">
        <v>76</v>
      </c>
      <c r="K76" s="14">
        <v>83</v>
      </c>
      <c r="L76" s="14">
        <v>101</v>
      </c>
      <c r="M76" s="14">
        <v>100</v>
      </c>
      <c r="N76" s="14">
        <v>15</v>
      </c>
      <c r="O76" s="15">
        <v>0.17647058823529413</v>
      </c>
      <c r="P76" s="25">
        <v>-0.1797752808988764</v>
      </c>
      <c r="Q76" s="23">
        <v>31</v>
      </c>
      <c r="R76" s="14">
        <v>27</v>
      </c>
      <c r="S76" s="14">
        <v>24</v>
      </c>
      <c r="T76" s="14">
        <v>19</v>
      </c>
      <c r="U76" s="17">
        <v>20</v>
      </c>
      <c r="V76" s="17">
        <v>21</v>
      </c>
      <c r="W76" s="17">
        <v>16</v>
      </c>
      <c r="X76" s="17">
        <v>17</v>
      </c>
      <c r="Y76" s="14">
        <v>-7</v>
      </c>
      <c r="Z76" s="15">
        <v>-0.3870967741935484</v>
      </c>
      <c r="AA76" s="25"/>
      <c r="AB76" s="18">
        <v>87</v>
      </c>
      <c r="AC76" s="14">
        <v>75</v>
      </c>
      <c r="AD76" s="14">
        <v>62</v>
      </c>
      <c r="AE76" s="14">
        <v>46</v>
      </c>
      <c r="AF76" s="14">
        <v>436</v>
      </c>
      <c r="AG76" s="14">
        <v>47</v>
      </c>
      <c r="AH76" s="14">
        <v>36</v>
      </c>
      <c r="AI76" s="14">
        <v>36</v>
      </c>
      <c r="AJ76" s="14">
        <v>-26</v>
      </c>
      <c r="AK76" s="15">
        <v>-0.47126436781609193</v>
      </c>
      <c r="AL76" s="26"/>
      <c r="AM76" s="18">
        <v>517</v>
      </c>
      <c r="AN76" s="14">
        <v>537</v>
      </c>
      <c r="AO76" s="14">
        <v>571</v>
      </c>
      <c r="AP76" s="14">
        <v>572</v>
      </c>
      <c r="AQ76" s="14">
        <v>651</v>
      </c>
      <c r="AR76" s="14">
        <v>717</v>
      </c>
      <c r="AS76" s="14">
        <v>748</v>
      </c>
      <c r="AT76" s="35">
        <v>211</v>
      </c>
      <c r="AU76" s="18">
        <v>23</v>
      </c>
      <c r="AV76" s="14">
        <v>24</v>
      </c>
      <c r="AW76" s="14">
        <v>23</v>
      </c>
      <c r="AX76" s="14">
        <v>30</v>
      </c>
      <c r="AY76" s="14">
        <v>40</v>
      </c>
      <c r="AZ76" s="14">
        <v>39</v>
      </c>
      <c r="BA76" s="14">
        <v>16</v>
      </c>
      <c r="BB76" s="34">
        <v>0.6956521739130435</v>
      </c>
    </row>
    <row r="77" spans="2:54" ht="15" customHeight="1">
      <c r="B77" s="19" t="s">
        <v>119</v>
      </c>
      <c r="C77" s="20"/>
      <c r="D77" s="20"/>
      <c r="E77" s="21">
        <v>61</v>
      </c>
      <c r="F77" s="18">
        <v>30</v>
      </c>
      <c r="G77" s="14">
        <v>29</v>
      </c>
      <c r="H77" s="14">
        <v>22</v>
      </c>
      <c r="I77" s="14">
        <v>25</v>
      </c>
      <c r="J77" s="14">
        <v>29</v>
      </c>
      <c r="K77" s="14">
        <v>33</v>
      </c>
      <c r="L77" s="14">
        <v>35</v>
      </c>
      <c r="M77" s="14">
        <v>38</v>
      </c>
      <c r="N77" s="14">
        <v>16</v>
      </c>
      <c r="O77" s="15">
        <v>0.7272727272727273</v>
      </c>
      <c r="P77" s="25">
        <v>-0.16666666666666666</v>
      </c>
      <c r="Q77" s="23">
        <v>20</v>
      </c>
      <c r="R77" s="14">
        <v>14</v>
      </c>
      <c r="S77" s="14">
        <v>9</v>
      </c>
      <c r="T77" s="14">
        <v>12</v>
      </c>
      <c r="U77" s="17">
        <v>11</v>
      </c>
      <c r="V77" s="17">
        <v>8</v>
      </c>
      <c r="W77" s="17">
        <v>7</v>
      </c>
      <c r="X77" s="17">
        <v>9</v>
      </c>
      <c r="Y77" s="14">
        <v>0</v>
      </c>
      <c r="Z77" s="15">
        <v>-0.4</v>
      </c>
      <c r="AA77" s="25"/>
      <c r="AB77" s="18">
        <v>46</v>
      </c>
      <c r="AC77" s="14">
        <v>29</v>
      </c>
      <c r="AD77" s="14">
        <v>14</v>
      </c>
      <c r="AE77" s="14">
        <v>19</v>
      </c>
      <c r="AF77" s="14">
        <v>47</v>
      </c>
      <c r="AG77" s="14">
        <v>11</v>
      </c>
      <c r="AH77" s="14">
        <v>13</v>
      </c>
      <c r="AI77" s="14">
        <v>17</v>
      </c>
      <c r="AJ77" s="14">
        <v>3</v>
      </c>
      <c r="AK77" s="15">
        <v>-0.5869565217391305</v>
      </c>
      <c r="AL77" s="26"/>
      <c r="AM77" s="18">
        <v>158</v>
      </c>
      <c r="AN77" s="14">
        <v>174</v>
      </c>
      <c r="AO77" s="14">
        <v>167</v>
      </c>
      <c r="AP77" s="14">
        <v>173</v>
      </c>
      <c r="AQ77" s="14">
        <v>218</v>
      </c>
      <c r="AR77" s="14">
        <v>249</v>
      </c>
      <c r="AS77" s="14">
        <v>285</v>
      </c>
      <c r="AT77" s="35">
        <v>111</v>
      </c>
      <c r="AU77" s="18">
        <v>7</v>
      </c>
      <c r="AV77" s="14">
        <v>12</v>
      </c>
      <c r="AW77" s="14">
        <v>9</v>
      </c>
      <c r="AX77" s="14">
        <v>13</v>
      </c>
      <c r="AY77" s="14">
        <v>14</v>
      </c>
      <c r="AZ77" s="14">
        <v>13</v>
      </c>
      <c r="BA77" s="14">
        <v>6</v>
      </c>
      <c r="BB77" s="34">
        <v>0.8571428571428571</v>
      </c>
    </row>
    <row r="78" spans="2:54" ht="15" customHeight="1">
      <c r="B78" s="19" t="s">
        <v>120</v>
      </c>
      <c r="C78" s="20" t="s">
        <v>63</v>
      </c>
      <c r="D78" s="20"/>
      <c r="E78" s="22">
        <v>62</v>
      </c>
      <c r="F78" s="18">
        <v>859</v>
      </c>
      <c r="G78" s="14">
        <v>875</v>
      </c>
      <c r="H78" s="14">
        <v>814</v>
      </c>
      <c r="I78" s="14">
        <v>770</v>
      </c>
      <c r="J78" s="14">
        <v>822</v>
      </c>
      <c r="K78" s="14">
        <v>893</v>
      </c>
      <c r="L78" s="14">
        <v>1006</v>
      </c>
      <c r="M78" s="14">
        <v>1072</v>
      </c>
      <c r="N78" s="14">
        <v>258</v>
      </c>
      <c r="O78" s="15">
        <v>0.31695331695331697</v>
      </c>
      <c r="P78" s="25">
        <v>-0.10360884749708964</v>
      </c>
      <c r="Q78" s="23">
        <v>476</v>
      </c>
      <c r="R78" s="14">
        <v>396</v>
      </c>
      <c r="S78" s="14">
        <v>313</v>
      </c>
      <c r="T78" s="14">
        <v>279</v>
      </c>
      <c r="U78" s="17">
        <v>258</v>
      </c>
      <c r="V78" s="17">
        <v>255</v>
      </c>
      <c r="W78" s="17">
        <v>277</v>
      </c>
      <c r="X78" s="17">
        <v>273</v>
      </c>
      <c r="Y78" s="14">
        <v>-40</v>
      </c>
      <c r="Z78" s="15">
        <v>-0.41386554621848737</v>
      </c>
      <c r="AA78" s="25"/>
      <c r="AB78" s="18">
        <v>1204</v>
      </c>
      <c r="AC78" s="14">
        <v>948</v>
      </c>
      <c r="AD78" s="14">
        <v>709</v>
      </c>
      <c r="AE78" s="14">
        <v>605</v>
      </c>
      <c r="AF78" s="14">
        <v>15</v>
      </c>
      <c r="AG78" s="14">
        <v>518</v>
      </c>
      <c r="AH78" s="14">
        <v>546</v>
      </c>
      <c r="AI78" s="14">
        <v>523</v>
      </c>
      <c r="AJ78" s="14">
        <v>-186</v>
      </c>
      <c r="AK78" s="15">
        <v>-0.49750830564784054</v>
      </c>
      <c r="AL78" s="26"/>
      <c r="AM78" s="18">
        <v>3502</v>
      </c>
      <c r="AN78" s="14">
        <v>3726</v>
      </c>
      <c r="AO78" s="14">
        <v>3884</v>
      </c>
      <c r="AP78" s="14">
        <v>3934</v>
      </c>
      <c r="AQ78" s="14">
        <v>4351</v>
      </c>
      <c r="AR78" s="14">
        <v>4639</v>
      </c>
      <c r="AS78" s="14">
        <v>4878</v>
      </c>
      <c r="AT78" s="35">
        <v>1152</v>
      </c>
      <c r="AU78" s="18">
        <v>182</v>
      </c>
      <c r="AV78" s="14">
        <v>201</v>
      </c>
      <c r="AW78" s="14">
        <v>218</v>
      </c>
      <c r="AX78" s="14">
        <v>263</v>
      </c>
      <c r="AY78" s="14">
        <v>271</v>
      </c>
      <c r="AZ78" s="14">
        <v>335</v>
      </c>
      <c r="BA78" s="14">
        <v>153</v>
      </c>
      <c r="BB78" s="34">
        <v>0.8406593406593407</v>
      </c>
    </row>
    <row r="79" spans="2:54" ht="15" customHeight="1">
      <c r="B79" s="19" t="s">
        <v>121</v>
      </c>
      <c r="C79" s="20">
        <v>1</v>
      </c>
      <c r="D79" s="20" t="s">
        <v>47</v>
      </c>
      <c r="E79" s="22">
        <v>63</v>
      </c>
      <c r="F79" s="18">
        <v>8</v>
      </c>
      <c r="G79" s="14">
        <v>6</v>
      </c>
      <c r="H79" s="14">
        <v>6</v>
      </c>
      <c r="I79" s="14">
        <v>15</v>
      </c>
      <c r="J79" s="14">
        <v>15</v>
      </c>
      <c r="K79" s="14">
        <v>15</v>
      </c>
      <c r="L79" s="14">
        <v>16</v>
      </c>
      <c r="M79" s="14">
        <v>16</v>
      </c>
      <c r="N79" s="14">
        <v>10</v>
      </c>
      <c r="O79" s="15">
        <v>1.6666666666666667</v>
      </c>
      <c r="P79" s="25">
        <v>0.875</v>
      </c>
      <c r="Q79" s="23">
        <v>6</v>
      </c>
      <c r="R79" s="14">
        <v>4</v>
      </c>
      <c r="S79" s="14">
        <v>4</v>
      </c>
      <c r="T79" s="14">
        <v>6</v>
      </c>
      <c r="U79" s="17">
        <v>4</v>
      </c>
      <c r="V79" s="17">
        <v>3</v>
      </c>
      <c r="W79" s="17">
        <v>3</v>
      </c>
      <c r="X79" s="17">
        <v>2</v>
      </c>
      <c r="Y79" s="14">
        <v>-2</v>
      </c>
      <c r="Z79" s="15">
        <v>0</v>
      </c>
      <c r="AA79" s="25"/>
      <c r="AB79" s="18">
        <v>18</v>
      </c>
      <c r="AC79" s="14">
        <v>10</v>
      </c>
      <c r="AD79" s="14">
        <v>7</v>
      </c>
      <c r="AE79" s="14">
        <v>18</v>
      </c>
      <c r="AF79" s="14">
        <v>531</v>
      </c>
      <c r="AG79" s="14">
        <v>6</v>
      </c>
      <c r="AH79" s="14">
        <v>11</v>
      </c>
      <c r="AI79" s="14">
        <v>5</v>
      </c>
      <c r="AJ79" s="14">
        <v>-2</v>
      </c>
      <c r="AK79" s="15">
        <v>0</v>
      </c>
      <c r="AL79" s="26"/>
      <c r="AM79" s="18">
        <v>85</v>
      </c>
      <c r="AN79" s="14">
        <v>81</v>
      </c>
      <c r="AO79" s="14">
        <v>96</v>
      </c>
      <c r="AP79" s="14">
        <v>147</v>
      </c>
      <c r="AQ79" s="14">
        <v>176</v>
      </c>
      <c r="AR79" s="14">
        <v>168</v>
      </c>
      <c r="AS79" s="14">
        <v>166</v>
      </c>
      <c r="AT79" s="35">
        <v>85</v>
      </c>
      <c r="AU79" s="18">
        <v>2</v>
      </c>
      <c r="AV79" s="14">
        <v>3</v>
      </c>
      <c r="AW79" s="14">
        <v>2</v>
      </c>
      <c r="AX79" s="14">
        <v>4</v>
      </c>
      <c r="AY79" s="14">
        <v>1</v>
      </c>
      <c r="AZ79" s="14">
        <v>2</v>
      </c>
      <c r="BA79" s="14">
        <v>0</v>
      </c>
      <c r="BB79" s="34">
        <v>0</v>
      </c>
    </row>
    <row r="80" spans="2:54" ht="15" customHeight="1">
      <c r="B80" s="19" t="s">
        <v>122</v>
      </c>
      <c r="C80" s="20" t="s">
        <v>63</v>
      </c>
      <c r="D80" s="20"/>
      <c r="E80" s="21">
        <v>64</v>
      </c>
      <c r="F80" s="18">
        <v>17286</v>
      </c>
      <c r="G80" s="14">
        <v>16522</v>
      </c>
      <c r="H80" s="14">
        <v>15682</v>
      </c>
      <c r="I80" s="14">
        <v>15222</v>
      </c>
      <c r="J80" s="14">
        <v>15846</v>
      </c>
      <c r="K80" s="14">
        <v>16680</v>
      </c>
      <c r="L80" s="14">
        <v>17608</v>
      </c>
      <c r="M80" s="14">
        <v>17562</v>
      </c>
      <c r="N80" s="14">
        <v>1880</v>
      </c>
      <c r="O80" s="15">
        <v>0.11988266802703737</v>
      </c>
      <c r="P80" s="25">
        <v>-0.11940298507462686</v>
      </c>
      <c r="Q80" s="23">
        <v>9156</v>
      </c>
      <c r="R80" s="14">
        <v>6568</v>
      </c>
      <c r="S80" s="14">
        <v>5174</v>
      </c>
      <c r="T80" s="14">
        <v>4724</v>
      </c>
      <c r="U80" s="17">
        <v>4399</v>
      </c>
      <c r="V80" s="17">
        <v>4086</v>
      </c>
      <c r="W80" s="17">
        <v>4008</v>
      </c>
      <c r="X80" s="17">
        <v>3773</v>
      </c>
      <c r="Y80" s="14">
        <v>-1401</v>
      </c>
      <c r="Z80" s="15">
        <v>-0.48405417212756663</v>
      </c>
      <c r="AA80" s="25"/>
      <c r="AB80" s="18">
        <v>25562</v>
      </c>
      <c r="AC80" s="14">
        <v>17528</v>
      </c>
      <c r="AD80" s="14">
        <v>13242</v>
      </c>
      <c r="AE80" s="14">
        <v>11770</v>
      </c>
      <c r="AF80" s="14">
        <v>12</v>
      </c>
      <c r="AG80" s="14">
        <v>9549</v>
      </c>
      <c r="AH80" s="14">
        <v>9065</v>
      </c>
      <c r="AI80" s="14">
        <v>8544</v>
      </c>
      <c r="AJ80" s="14">
        <v>-4698</v>
      </c>
      <c r="AK80" s="15">
        <v>-0.5395508958610438</v>
      </c>
      <c r="AL80" s="26"/>
      <c r="AM80" s="18">
        <v>43978</v>
      </c>
      <c r="AN80" s="14">
        <v>44175</v>
      </c>
      <c r="AO80" s="14">
        <v>44108</v>
      </c>
      <c r="AP80" s="14">
        <v>43715</v>
      </c>
      <c r="AQ80" s="14">
        <v>44679</v>
      </c>
      <c r="AR80" s="14">
        <v>45571</v>
      </c>
      <c r="AS80" s="14">
        <v>45987</v>
      </c>
      <c r="AT80" s="35">
        <v>1812</v>
      </c>
      <c r="AU80" s="18">
        <v>4027</v>
      </c>
      <c r="AV80" s="14">
        <v>4504</v>
      </c>
      <c r="AW80" s="14">
        <v>4710</v>
      </c>
      <c r="AX80" s="14">
        <v>5205</v>
      </c>
      <c r="AY80" s="14">
        <v>5435</v>
      </c>
      <c r="AZ80" s="14">
        <v>5366</v>
      </c>
      <c r="BA80" s="14">
        <v>1339</v>
      </c>
      <c r="BB80" s="34">
        <v>0.3325055872858207</v>
      </c>
    </row>
    <row r="81" spans="2:54" ht="15" customHeight="1">
      <c r="B81" s="19" t="s">
        <v>123</v>
      </c>
      <c r="C81" s="20">
        <v>1</v>
      </c>
      <c r="D81" s="20" t="s">
        <v>52</v>
      </c>
      <c r="E81" s="22">
        <v>65</v>
      </c>
      <c r="F81" s="18">
        <v>2</v>
      </c>
      <c r="G81" s="14">
        <v>2</v>
      </c>
      <c r="H81" s="14">
        <v>3</v>
      </c>
      <c r="I81" s="14">
        <v>4</v>
      </c>
      <c r="J81" s="14">
        <v>2</v>
      </c>
      <c r="K81" s="14">
        <v>3</v>
      </c>
      <c r="L81" s="14">
        <v>5</v>
      </c>
      <c r="M81" s="14">
        <v>9</v>
      </c>
      <c r="N81" s="14">
        <v>6</v>
      </c>
      <c r="O81" s="15">
        <v>2</v>
      </c>
      <c r="P81" s="25">
        <v>1</v>
      </c>
      <c r="Q81" s="23">
        <v>2</v>
      </c>
      <c r="R81" s="14">
        <v>2</v>
      </c>
      <c r="S81" s="14">
        <v>0</v>
      </c>
      <c r="T81" s="14">
        <v>1</v>
      </c>
      <c r="U81" s="17">
        <v>0</v>
      </c>
      <c r="V81" s="17">
        <v>0</v>
      </c>
      <c r="W81" s="17">
        <v>1</v>
      </c>
      <c r="X81" s="17">
        <v>1</v>
      </c>
      <c r="Y81" s="14">
        <v>1</v>
      </c>
      <c r="Z81" s="15">
        <v>-0.5</v>
      </c>
      <c r="AA81" s="25"/>
      <c r="AB81" s="18">
        <v>5</v>
      </c>
      <c r="AC81" s="14">
        <v>4</v>
      </c>
      <c r="AD81" s="14">
        <v>2</v>
      </c>
      <c r="AE81" s="14">
        <v>5</v>
      </c>
      <c r="AF81" s="14">
        <v>10744</v>
      </c>
      <c r="AG81" s="14">
        <v>0</v>
      </c>
      <c r="AH81" s="14">
        <v>2</v>
      </c>
      <c r="AI81" s="14">
        <v>3</v>
      </c>
      <c r="AJ81" s="14">
        <v>1</v>
      </c>
      <c r="AK81" s="15">
        <v>0</v>
      </c>
      <c r="AL81" s="26"/>
      <c r="AM81" s="18">
        <v>32</v>
      </c>
      <c r="AN81" s="14">
        <v>32</v>
      </c>
      <c r="AO81" s="14">
        <v>46</v>
      </c>
      <c r="AP81" s="14">
        <v>54</v>
      </c>
      <c r="AQ81" s="14">
        <v>65</v>
      </c>
      <c r="AR81" s="14">
        <v>78</v>
      </c>
      <c r="AS81" s="14">
        <v>205</v>
      </c>
      <c r="AT81" s="35">
        <v>173</v>
      </c>
      <c r="AU81" s="18">
        <v>0</v>
      </c>
      <c r="AV81" s="14">
        <v>0</v>
      </c>
      <c r="AW81" s="14">
        <v>1</v>
      </c>
      <c r="AX81" s="14">
        <v>3</v>
      </c>
      <c r="AY81" s="14">
        <v>2</v>
      </c>
      <c r="AZ81" s="14">
        <v>2</v>
      </c>
      <c r="BA81" s="14"/>
      <c r="BB81" s="34"/>
    </row>
    <row r="82" spans="2:54" ht="15" customHeight="1">
      <c r="B82" s="19" t="s">
        <v>124</v>
      </c>
      <c r="C82" s="20">
        <v>1</v>
      </c>
      <c r="D82" s="20" t="s">
        <v>52</v>
      </c>
      <c r="E82" s="22">
        <v>66</v>
      </c>
      <c r="F82" s="18">
        <v>13</v>
      </c>
      <c r="G82" s="14">
        <v>14</v>
      </c>
      <c r="H82" s="14">
        <v>12</v>
      </c>
      <c r="I82" s="14">
        <v>13</v>
      </c>
      <c r="J82" s="14">
        <v>12</v>
      </c>
      <c r="K82" s="14">
        <v>14</v>
      </c>
      <c r="L82" s="14">
        <v>15</v>
      </c>
      <c r="M82" s="14">
        <v>22</v>
      </c>
      <c r="N82" s="14">
        <v>10</v>
      </c>
      <c r="O82" s="15">
        <v>0.8333333333333334</v>
      </c>
      <c r="P82" s="25">
        <v>0</v>
      </c>
      <c r="Q82" s="23">
        <v>7</v>
      </c>
      <c r="R82" s="14">
        <v>9</v>
      </c>
      <c r="S82" s="14">
        <v>5</v>
      </c>
      <c r="T82" s="14">
        <v>4</v>
      </c>
      <c r="U82" s="17">
        <v>4</v>
      </c>
      <c r="V82" s="17">
        <v>5</v>
      </c>
      <c r="W82" s="17">
        <v>4</v>
      </c>
      <c r="X82" s="17">
        <v>5</v>
      </c>
      <c r="Y82" s="14">
        <v>0</v>
      </c>
      <c r="Z82" s="15">
        <v>-0.42857142857142855</v>
      </c>
      <c r="AA82" s="25"/>
      <c r="AB82" s="18">
        <v>18</v>
      </c>
      <c r="AC82" s="14">
        <v>23</v>
      </c>
      <c r="AD82" s="14">
        <v>11</v>
      </c>
      <c r="AE82" s="14">
        <v>9</v>
      </c>
      <c r="AF82" s="14">
        <v>1</v>
      </c>
      <c r="AG82" s="14">
        <v>8</v>
      </c>
      <c r="AH82" s="14">
        <v>8</v>
      </c>
      <c r="AI82" s="14">
        <v>9</v>
      </c>
      <c r="AJ82" s="14">
        <v>-2</v>
      </c>
      <c r="AK82" s="15">
        <v>-0.5</v>
      </c>
      <c r="AL82" s="26"/>
      <c r="AM82" s="18">
        <v>105</v>
      </c>
      <c r="AN82" s="14">
        <v>120</v>
      </c>
      <c r="AO82" s="14">
        <v>129</v>
      </c>
      <c r="AP82" s="14">
        <v>119</v>
      </c>
      <c r="AQ82" s="14">
        <v>139</v>
      </c>
      <c r="AR82" s="14">
        <v>181</v>
      </c>
      <c r="AS82" s="14">
        <v>200</v>
      </c>
      <c r="AT82" s="35">
        <v>80</v>
      </c>
      <c r="AU82" s="18">
        <v>3</v>
      </c>
      <c r="AV82" s="14">
        <v>6</v>
      </c>
      <c r="AW82" s="14">
        <v>7</v>
      </c>
      <c r="AX82" s="14">
        <v>6</v>
      </c>
      <c r="AY82" s="14">
        <v>10</v>
      </c>
      <c r="AZ82" s="14">
        <v>11</v>
      </c>
      <c r="BA82" s="14">
        <v>8</v>
      </c>
      <c r="BB82" s="34">
        <v>2.6666666666666665</v>
      </c>
    </row>
    <row r="83" spans="2:54" ht="15" customHeight="1">
      <c r="B83" s="19" t="s">
        <v>125</v>
      </c>
      <c r="C83" s="20"/>
      <c r="D83" s="20"/>
      <c r="E83" s="21">
        <v>67</v>
      </c>
      <c r="F83" s="18">
        <v>27</v>
      </c>
      <c r="G83" s="14">
        <v>26</v>
      </c>
      <c r="H83" s="14">
        <v>18</v>
      </c>
      <c r="I83" s="14">
        <v>17</v>
      </c>
      <c r="J83" s="14">
        <v>15</v>
      </c>
      <c r="K83" s="14">
        <v>13</v>
      </c>
      <c r="L83" s="14">
        <v>21</v>
      </c>
      <c r="M83" s="14">
        <v>29</v>
      </c>
      <c r="N83" s="14">
        <v>11</v>
      </c>
      <c r="O83" s="15">
        <v>0.6111111111111112</v>
      </c>
      <c r="P83" s="25">
        <v>-0.37037037037037035</v>
      </c>
      <c r="Q83" s="23">
        <v>12</v>
      </c>
      <c r="R83" s="14">
        <v>8</v>
      </c>
      <c r="S83" s="14">
        <v>4</v>
      </c>
      <c r="T83" s="14">
        <v>4</v>
      </c>
      <c r="U83" s="17">
        <v>6</v>
      </c>
      <c r="V83" s="17">
        <v>5</v>
      </c>
      <c r="W83" s="17">
        <v>4</v>
      </c>
      <c r="X83" s="17">
        <v>3</v>
      </c>
      <c r="Y83" s="14">
        <v>-1</v>
      </c>
      <c r="Z83" s="15">
        <v>-0.6666666666666666</v>
      </c>
      <c r="AA83" s="25"/>
      <c r="AB83" s="18">
        <v>31</v>
      </c>
      <c r="AC83" s="14">
        <v>18</v>
      </c>
      <c r="AD83" s="14">
        <v>9</v>
      </c>
      <c r="AE83" s="14">
        <v>10</v>
      </c>
      <c r="AF83" s="14">
        <v>7</v>
      </c>
      <c r="AG83" s="14">
        <v>10</v>
      </c>
      <c r="AH83" s="14">
        <v>6</v>
      </c>
      <c r="AI83" s="14">
        <v>7</v>
      </c>
      <c r="AJ83" s="14">
        <v>-2</v>
      </c>
      <c r="AK83" s="15">
        <v>-0.6774193548387096</v>
      </c>
      <c r="AL83" s="26"/>
      <c r="AM83" s="18">
        <v>151</v>
      </c>
      <c r="AN83" s="14">
        <v>175</v>
      </c>
      <c r="AO83" s="14">
        <v>180</v>
      </c>
      <c r="AP83" s="14">
        <v>175</v>
      </c>
      <c r="AQ83" s="14">
        <v>233</v>
      </c>
      <c r="AR83" s="14">
        <v>281</v>
      </c>
      <c r="AS83" s="14">
        <v>319</v>
      </c>
      <c r="AT83" s="35">
        <v>144</v>
      </c>
      <c r="AU83" s="18">
        <v>4</v>
      </c>
      <c r="AV83" s="14">
        <v>6</v>
      </c>
      <c r="AW83" s="14">
        <v>9</v>
      </c>
      <c r="AX83" s="14">
        <v>8</v>
      </c>
      <c r="AY83" s="14">
        <v>9</v>
      </c>
      <c r="AZ83" s="14">
        <v>10</v>
      </c>
      <c r="BA83" s="14">
        <v>6</v>
      </c>
      <c r="BB83" s="34">
        <v>1.5</v>
      </c>
    </row>
    <row r="84" spans="2:54" ht="15" customHeight="1">
      <c r="B84" s="19" t="s">
        <v>126</v>
      </c>
      <c r="C84" s="20">
        <v>1</v>
      </c>
      <c r="D84" s="20" t="s">
        <v>52</v>
      </c>
      <c r="E84" s="22">
        <v>68</v>
      </c>
      <c r="F84" s="18">
        <v>12</v>
      </c>
      <c r="G84" s="14">
        <v>12</v>
      </c>
      <c r="H84" s="14">
        <v>12</v>
      </c>
      <c r="I84" s="14">
        <v>12</v>
      </c>
      <c r="J84" s="14">
        <v>15</v>
      </c>
      <c r="K84" s="14">
        <v>16</v>
      </c>
      <c r="L84" s="14">
        <v>19</v>
      </c>
      <c r="M84" s="14">
        <v>25</v>
      </c>
      <c r="N84" s="14">
        <v>13</v>
      </c>
      <c r="O84" s="15">
        <v>1.0833333333333333</v>
      </c>
      <c r="P84" s="25">
        <v>0</v>
      </c>
      <c r="Q84" s="23">
        <v>3</v>
      </c>
      <c r="R84" s="14">
        <v>1</v>
      </c>
      <c r="S84" s="14">
        <v>1</v>
      </c>
      <c r="T84" s="14">
        <v>1</v>
      </c>
      <c r="U84" s="17">
        <v>1</v>
      </c>
      <c r="V84" s="17">
        <v>1</v>
      </c>
      <c r="W84" s="17">
        <v>3</v>
      </c>
      <c r="X84" s="17">
        <v>3</v>
      </c>
      <c r="Y84" s="14">
        <v>2</v>
      </c>
      <c r="Z84" s="15">
        <v>-0.6666666666666666</v>
      </c>
      <c r="AA84" s="25"/>
      <c r="AB84" s="18">
        <v>13</v>
      </c>
      <c r="AC84" s="14">
        <v>5</v>
      </c>
      <c r="AD84" s="14">
        <v>3</v>
      </c>
      <c r="AE84" s="14">
        <v>2</v>
      </c>
      <c r="AF84" s="14">
        <v>13</v>
      </c>
      <c r="AG84" s="14">
        <v>2</v>
      </c>
      <c r="AH84" s="14">
        <v>7</v>
      </c>
      <c r="AI84" s="14">
        <v>7</v>
      </c>
      <c r="AJ84" s="14">
        <v>4</v>
      </c>
      <c r="AK84" s="15">
        <v>-0.8461538461538461</v>
      </c>
      <c r="AL84" s="26"/>
      <c r="AM84" s="18">
        <v>122</v>
      </c>
      <c r="AN84" s="14">
        <v>125</v>
      </c>
      <c r="AO84" s="14">
        <v>130</v>
      </c>
      <c r="AP84" s="14">
        <v>121</v>
      </c>
      <c r="AQ84" s="14">
        <v>151</v>
      </c>
      <c r="AR84" s="14">
        <v>192</v>
      </c>
      <c r="AS84" s="14">
        <v>208</v>
      </c>
      <c r="AT84" s="35">
        <v>83</v>
      </c>
      <c r="AU84" s="18">
        <v>6</v>
      </c>
      <c r="AV84" s="14">
        <v>6</v>
      </c>
      <c r="AW84" s="14">
        <v>8</v>
      </c>
      <c r="AX84" s="14">
        <v>8</v>
      </c>
      <c r="AY84" s="14">
        <v>8</v>
      </c>
      <c r="AZ84" s="14">
        <v>7</v>
      </c>
      <c r="BA84" s="14">
        <v>1</v>
      </c>
      <c r="BB84" s="34">
        <v>0.16666666666666666</v>
      </c>
    </row>
    <row r="85" spans="2:54" ht="15" customHeight="1">
      <c r="B85" s="19" t="s">
        <v>127</v>
      </c>
      <c r="C85" s="20"/>
      <c r="D85" s="20"/>
      <c r="E85" s="22">
        <v>69</v>
      </c>
      <c r="F85" s="18">
        <v>554</v>
      </c>
      <c r="G85" s="14">
        <v>573</v>
      </c>
      <c r="H85" s="14">
        <v>562</v>
      </c>
      <c r="I85" s="14">
        <v>572</v>
      </c>
      <c r="J85" s="14">
        <v>593</v>
      </c>
      <c r="K85" s="14">
        <v>603</v>
      </c>
      <c r="L85" s="14">
        <v>630</v>
      </c>
      <c r="M85" s="14">
        <v>675</v>
      </c>
      <c r="N85" s="14">
        <v>113</v>
      </c>
      <c r="O85" s="15">
        <v>0.20106761565836298</v>
      </c>
      <c r="P85" s="25">
        <v>0.032490974729241874</v>
      </c>
      <c r="Q85" s="23">
        <v>276</v>
      </c>
      <c r="R85" s="14">
        <v>207</v>
      </c>
      <c r="S85" s="14">
        <v>174</v>
      </c>
      <c r="T85" s="14">
        <v>167</v>
      </c>
      <c r="U85" s="17">
        <v>165</v>
      </c>
      <c r="V85" s="17">
        <v>140</v>
      </c>
      <c r="W85" s="17">
        <v>138</v>
      </c>
      <c r="X85" s="17">
        <v>141</v>
      </c>
      <c r="Y85" s="14">
        <v>-33</v>
      </c>
      <c r="Z85" s="15">
        <v>-0.39492753623188404</v>
      </c>
      <c r="AA85" s="25"/>
      <c r="AB85" s="18">
        <v>780</v>
      </c>
      <c r="AC85" s="14">
        <v>548</v>
      </c>
      <c r="AD85" s="14">
        <v>416</v>
      </c>
      <c r="AE85" s="14">
        <v>384</v>
      </c>
      <c r="AF85" s="14">
        <v>4</v>
      </c>
      <c r="AG85" s="14">
        <v>293</v>
      </c>
      <c r="AH85" s="14">
        <v>299</v>
      </c>
      <c r="AI85" s="14">
        <v>320</v>
      </c>
      <c r="AJ85" s="14">
        <v>-96</v>
      </c>
      <c r="AK85" s="15">
        <v>-0.5076923076923077</v>
      </c>
      <c r="AL85" s="26"/>
      <c r="AM85" s="18">
        <v>2172</v>
      </c>
      <c r="AN85" s="14">
        <v>2385</v>
      </c>
      <c r="AO85" s="14">
        <v>2215</v>
      </c>
      <c r="AP85" s="14">
        <v>2558</v>
      </c>
      <c r="AQ85" s="14">
        <v>2908</v>
      </c>
      <c r="AR85" s="14">
        <v>3119</v>
      </c>
      <c r="AS85" s="14">
        <v>3212</v>
      </c>
      <c r="AT85" s="35">
        <v>827</v>
      </c>
      <c r="AU85" s="18">
        <v>95</v>
      </c>
      <c r="AV85" s="14">
        <v>101</v>
      </c>
      <c r="AW85" s="14">
        <v>109</v>
      </c>
      <c r="AX85" s="14">
        <v>117</v>
      </c>
      <c r="AY85" s="14">
        <v>132</v>
      </c>
      <c r="AZ85" s="14">
        <v>168</v>
      </c>
      <c r="BA85" s="14">
        <v>73</v>
      </c>
      <c r="BB85" s="34">
        <v>0.7684210526315789</v>
      </c>
    </row>
    <row r="86" spans="2:54" ht="15" customHeight="1">
      <c r="B86" s="19" t="s">
        <v>128</v>
      </c>
      <c r="C86" s="20">
        <v>1</v>
      </c>
      <c r="D86" s="20" t="s">
        <v>75</v>
      </c>
      <c r="E86" s="21">
        <v>70</v>
      </c>
      <c r="F86" s="18">
        <v>16</v>
      </c>
      <c r="G86" s="14">
        <v>12</v>
      </c>
      <c r="H86" s="14">
        <v>13</v>
      </c>
      <c r="I86" s="14">
        <v>12</v>
      </c>
      <c r="J86" s="14">
        <v>15</v>
      </c>
      <c r="K86" s="14">
        <v>15</v>
      </c>
      <c r="L86" s="14">
        <v>16</v>
      </c>
      <c r="M86" s="14">
        <v>19</v>
      </c>
      <c r="N86" s="14">
        <v>6</v>
      </c>
      <c r="O86" s="15">
        <v>0.46153846153846156</v>
      </c>
      <c r="P86" s="25">
        <v>-0.25</v>
      </c>
      <c r="Q86" s="23">
        <v>5</v>
      </c>
      <c r="R86" s="14">
        <v>5</v>
      </c>
      <c r="S86" s="14">
        <v>5</v>
      </c>
      <c r="T86" s="14">
        <v>5</v>
      </c>
      <c r="U86" s="17">
        <v>6</v>
      </c>
      <c r="V86" s="17">
        <v>5</v>
      </c>
      <c r="W86" s="17">
        <v>6</v>
      </c>
      <c r="X86" s="17">
        <v>7</v>
      </c>
      <c r="Y86" s="14">
        <v>2</v>
      </c>
      <c r="Z86" s="15">
        <v>0</v>
      </c>
      <c r="AA86" s="25"/>
      <c r="AB86" s="18">
        <v>10</v>
      </c>
      <c r="AC86" s="14">
        <v>11</v>
      </c>
      <c r="AD86" s="14">
        <v>10</v>
      </c>
      <c r="AE86" s="14">
        <v>8</v>
      </c>
      <c r="AF86" s="14">
        <v>367</v>
      </c>
      <c r="AG86" s="14">
        <v>7</v>
      </c>
      <c r="AH86" s="14">
        <v>7</v>
      </c>
      <c r="AI86" s="14">
        <v>14</v>
      </c>
      <c r="AJ86" s="14">
        <v>4</v>
      </c>
      <c r="AK86" s="15">
        <v>-0.2</v>
      </c>
      <c r="AL86" s="26"/>
      <c r="AM86" s="18">
        <v>70</v>
      </c>
      <c r="AN86" s="14">
        <v>74</v>
      </c>
      <c r="AO86" s="14">
        <v>77</v>
      </c>
      <c r="AP86" s="14">
        <v>87</v>
      </c>
      <c r="AQ86" s="14">
        <v>112</v>
      </c>
      <c r="AR86" s="14">
        <v>152</v>
      </c>
      <c r="AS86" s="14">
        <v>165</v>
      </c>
      <c r="AT86" s="35">
        <v>91</v>
      </c>
      <c r="AU86" s="18">
        <v>5</v>
      </c>
      <c r="AV86" s="14">
        <v>7</v>
      </c>
      <c r="AW86" s="14">
        <v>5</v>
      </c>
      <c r="AX86" s="14">
        <v>4</v>
      </c>
      <c r="AY86" s="14">
        <v>6</v>
      </c>
      <c r="AZ86" s="14">
        <v>7</v>
      </c>
      <c r="BA86" s="14">
        <v>2</v>
      </c>
      <c r="BB86" s="34">
        <v>0.4</v>
      </c>
    </row>
    <row r="87" spans="2:54" ht="15" customHeight="1">
      <c r="B87" s="19" t="s">
        <v>129</v>
      </c>
      <c r="C87" s="20">
        <v>1</v>
      </c>
      <c r="D87" s="20" t="s">
        <v>47</v>
      </c>
      <c r="E87" s="22">
        <v>71</v>
      </c>
      <c r="F87" s="18">
        <v>43</v>
      </c>
      <c r="G87" s="14">
        <v>39</v>
      </c>
      <c r="H87" s="14">
        <v>34</v>
      </c>
      <c r="I87" s="14">
        <v>60</v>
      </c>
      <c r="J87" s="14">
        <v>99</v>
      </c>
      <c r="K87" s="14">
        <v>96</v>
      </c>
      <c r="L87" s="14">
        <v>108</v>
      </c>
      <c r="M87" s="14">
        <v>110</v>
      </c>
      <c r="N87" s="14">
        <v>76</v>
      </c>
      <c r="O87" s="15">
        <v>2.235294117647059</v>
      </c>
      <c r="P87" s="25">
        <v>0.3953488372093023</v>
      </c>
      <c r="Q87" s="23">
        <v>29</v>
      </c>
      <c r="R87" s="14">
        <v>17</v>
      </c>
      <c r="S87" s="14">
        <v>11</v>
      </c>
      <c r="T87" s="14">
        <v>12</v>
      </c>
      <c r="U87" s="17">
        <v>6</v>
      </c>
      <c r="V87" s="17">
        <v>6</v>
      </c>
      <c r="W87" s="17">
        <v>8</v>
      </c>
      <c r="X87" s="17">
        <v>11</v>
      </c>
      <c r="Y87" s="14">
        <v>0</v>
      </c>
      <c r="Z87" s="15">
        <v>-0.5862068965517241</v>
      </c>
      <c r="AA87" s="25"/>
      <c r="AB87" s="18">
        <v>75</v>
      </c>
      <c r="AC87" s="14">
        <v>41</v>
      </c>
      <c r="AD87" s="14">
        <v>21</v>
      </c>
      <c r="AE87" s="14">
        <v>24</v>
      </c>
      <c r="AF87" s="14">
        <v>8</v>
      </c>
      <c r="AG87" s="14">
        <v>14</v>
      </c>
      <c r="AH87" s="14">
        <v>16</v>
      </c>
      <c r="AI87" s="14">
        <v>20</v>
      </c>
      <c r="AJ87" s="14">
        <v>-1</v>
      </c>
      <c r="AK87" s="15">
        <v>-0.68</v>
      </c>
      <c r="AL87" s="26"/>
      <c r="AM87" s="18">
        <v>262</v>
      </c>
      <c r="AN87" s="14">
        <v>278</v>
      </c>
      <c r="AO87" s="14">
        <v>309</v>
      </c>
      <c r="AP87" s="14">
        <v>335</v>
      </c>
      <c r="AQ87" s="14">
        <v>398</v>
      </c>
      <c r="AR87" s="14">
        <v>412</v>
      </c>
      <c r="AS87" s="14">
        <v>422</v>
      </c>
      <c r="AT87" s="35">
        <v>144</v>
      </c>
      <c r="AU87" s="18">
        <v>62</v>
      </c>
      <c r="AV87" s="14">
        <v>80</v>
      </c>
      <c r="AW87" s="14">
        <v>93</v>
      </c>
      <c r="AX87" s="14">
        <v>102</v>
      </c>
      <c r="AY87" s="14">
        <v>106</v>
      </c>
      <c r="AZ87" s="14">
        <v>97</v>
      </c>
      <c r="BA87" s="14">
        <v>35</v>
      </c>
      <c r="BB87" s="34">
        <v>0.5645161290322581</v>
      </c>
    </row>
    <row r="88" spans="2:54" ht="15" customHeight="1">
      <c r="B88" s="19" t="s">
        <v>130</v>
      </c>
      <c r="C88" s="20"/>
      <c r="D88" s="20"/>
      <c r="E88" s="22">
        <v>72</v>
      </c>
      <c r="F88" s="18">
        <v>69</v>
      </c>
      <c r="G88" s="14">
        <v>77</v>
      </c>
      <c r="H88" s="14">
        <v>80</v>
      </c>
      <c r="I88" s="14">
        <v>73</v>
      </c>
      <c r="J88" s="14">
        <v>76</v>
      </c>
      <c r="K88" s="14">
        <v>85</v>
      </c>
      <c r="L88" s="14">
        <v>94</v>
      </c>
      <c r="M88" s="14">
        <v>109</v>
      </c>
      <c r="N88" s="14">
        <v>29</v>
      </c>
      <c r="O88" s="15">
        <v>0.3625</v>
      </c>
      <c r="P88" s="25">
        <v>0.057971014492753624</v>
      </c>
      <c r="Q88" s="23">
        <v>41</v>
      </c>
      <c r="R88" s="14">
        <v>35</v>
      </c>
      <c r="S88" s="14">
        <v>25</v>
      </c>
      <c r="T88" s="14">
        <v>22</v>
      </c>
      <c r="U88" s="17">
        <v>21</v>
      </c>
      <c r="V88" s="17">
        <v>22</v>
      </c>
      <c r="W88" s="17">
        <v>26</v>
      </c>
      <c r="X88" s="17">
        <v>24</v>
      </c>
      <c r="Y88" s="14">
        <v>-1</v>
      </c>
      <c r="Z88" s="15">
        <v>-0.4634146341463415</v>
      </c>
      <c r="AA88" s="25"/>
      <c r="AB88" s="18">
        <v>109</v>
      </c>
      <c r="AC88" s="14">
        <v>83</v>
      </c>
      <c r="AD88" s="14">
        <v>57</v>
      </c>
      <c r="AE88" s="14">
        <v>52</v>
      </c>
      <c r="AF88" s="14">
        <v>15</v>
      </c>
      <c r="AG88" s="14">
        <v>46</v>
      </c>
      <c r="AH88" s="14">
        <v>57</v>
      </c>
      <c r="AI88" s="14">
        <v>54</v>
      </c>
      <c r="AJ88" s="14">
        <v>-3</v>
      </c>
      <c r="AK88" s="15">
        <v>-0.5229357798165137</v>
      </c>
      <c r="AL88" s="26"/>
      <c r="AM88" s="18">
        <v>385</v>
      </c>
      <c r="AN88" s="14">
        <v>442</v>
      </c>
      <c r="AO88" s="14">
        <v>473</v>
      </c>
      <c r="AP88" s="14">
        <v>527</v>
      </c>
      <c r="AQ88" s="14">
        <v>668</v>
      </c>
      <c r="AR88" s="14">
        <v>777</v>
      </c>
      <c r="AS88" s="14">
        <v>823</v>
      </c>
      <c r="AT88" s="35">
        <v>381</v>
      </c>
      <c r="AU88" s="18">
        <v>14</v>
      </c>
      <c r="AV88" s="14">
        <v>20</v>
      </c>
      <c r="AW88" s="14">
        <v>29</v>
      </c>
      <c r="AX88" s="14">
        <v>32</v>
      </c>
      <c r="AY88" s="14">
        <v>41</v>
      </c>
      <c r="AZ88" s="14">
        <v>34</v>
      </c>
      <c r="BA88" s="14">
        <v>20</v>
      </c>
      <c r="BB88" s="34">
        <v>1.4285714285714286</v>
      </c>
    </row>
    <row r="89" spans="2:54" ht="15" customHeight="1">
      <c r="B89" s="19" t="s">
        <v>131</v>
      </c>
      <c r="C89" s="20">
        <v>1</v>
      </c>
      <c r="D89" s="20" t="s">
        <v>47</v>
      </c>
      <c r="E89" s="21">
        <v>73</v>
      </c>
      <c r="F89" s="18">
        <v>35</v>
      </c>
      <c r="G89" s="14">
        <v>31</v>
      </c>
      <c r="H89" s="14">
        <v>33</v>
      </c>
      <c r="I89" s="14">
        <v>30</v>
      </c>
      <c r="J89" s="14">
        <v>27</v>
      </c>
      <c r="K89" s="14">
        <v>35</v>
      </c>
      <c r="L89" s="14">
        <v>35</v>
      </c>
      <c r="M89" s="14">
        <v>41</v>
      </c>
      <c r="N89" s="14">
        <v>8</v>
      </c>
      <c r="O89" s="15">
        <v>0.24242424242424243</v>
      </c>
      <c r="P89" s="25">
        <v>-0.14285714285714285</v>
      </c>
      <c r="Q89" s="23">
        <v>21</v>
      </c>
      <c r="R89" s="14">
        <v>14</v>
      </c>
      <c r="S89" s="14">
        <v>12</v>
      </c>
      <c r="T89" s="14">
        <v>10</v>
      </c>
      <c r="U89" s="17">
        <v>9</v>
      </c>
      <c r="V89" s="17">
        <v>7</v>
      </c>
      <c r="W89" s="17">
        <v>5</v>
      </c>
      <c r="X89" s="17">
        <v>10</v>
      </c>
      <c r="Y89" s="14">
        <v>-2</v>
      </c>
      <c r="Z89" s="15">
        <v>-0.5238095238095238</v>
      </c>
      <c r="AA89" s="25"/>
      <c r="AB89" s="18">
        <v>52</v>
      </c>
      <c r="AC89" s="14">
        <v>35</v>
      </c>
      <c r="AD89" s="14">
        <v>26</v>
      </c>
      <c r="AE89" s="14">
        <v>21</v>
      </c>
      <c r="AF89" s="14">
        <v>43</v>
      </c>
      <c r="AG89" s="14">
        <v>13</v>
      </c>
      <c r="AH89" s="14">
        <v>9</v>
      </c>
      <c r="AI89" s="14">
        <v>18</v>
      </c>
      <c r="AJ89" s="14">
        <v>-8</v>
      </c>
      <c r="AK89" s="15">
        <v>-0.5961538461538461</v>
      </c>
      <c r="AL89" s="26"/>
      <c r="AM89" s="18">
        <v>143</v>
      </c>
      <c r="AN89" s="14">
        <v>162</v>
      </c>
      <c r="AO89" s="14">
        <v>179</v>
      </c>
      <c r="AP89" s="14">
        <v>178</v>
      </c>
      <c r="AQ89" s="14">
        <v>200</v>
      </c>
      <c r="AR89" s="14">
        <v>214</v>
      </c>
      <c r="AS89" s="14">
        <v>243</v>
      </c>
      <c r="AT89" s="35">
        <v>81</v>
      </c>
      <c r="AU89" s="18">
        <v>4</v>
      </c>
      <c r="AV89" s="14">
        <v>9</v>
      </c>
      <c r="AW89" s="14">
        <v>9</v>
      </c>
      <c r="AX89" s="14">
        <v>12</v>
      </c>
      <c r="AY89" s="14">
        <v>13</v>
      </c>
      <c r="AZ89" s="14">
        <v>16</v>
      </c>
      <c r="BA89" s="14">
        <v>12</v>
      </c>
      <c r="BB89" s="34">
        <v>3</v>
      </c>
    </row>
    <row r="90" spans="2:54" ht="15" customHeight="1">
      <c r="B90" s="19" t="s">
        <v>132</v>
      </c>
      <c r="C90" s="20">
        <v>1</v>
      </c>
      <c r="D90" s="20" t="s">
        <v>52</v>
      </c>
      <c r="E90" s="22">
        <v>74</v>
      </c>
      <c r="F90" s="18">
        <v>43</v>
      </c>
      <c r="G90" s="14">
        <v>43</v>
      </c>
      <c r="H90" s="14">
        <v>37</v>
      </c>
      <c r="I90" s="14">
        <v>30</v>
      </c>
      <c r="J90" s="14">
        <v>34</v>
      </c>
      <c r="K90" s="14">
        <v>45</v>
      </c>
      <c r="L90" s="14">
        <v>47</v>
      </c>
      <c r="M90" s="14">
        <v>51</v>
      </c>
      <c r="N90" s="14">
        <v>14</v>
      </c>
      <c r="O90" s="15">
        <v>0.3783783783783784</v>
      </c>
      <c r="P90" s="25">
        <v>-0.3023255813953488</v>
      </c>
      <c r="Q90" s="23">
        <v>13</v>
      </c>
      <c r="R90" s="14">
        <v>11</v>
      </c>
      <c r="S90" s="14">
        <v>9</v>
      </c>
      <c r="T90" s="14">
        <v>7</v>
      </c>
      <c r="U90" s="17">
        <v>7</v>
      </c>
      <c r="V90" s="17">
        <v>5</v>
      </c>
      <c r="W90" s="17">
        <v>6</v>
      </c>
      <c r="X90" s="17">
        <v>9</v>
      </c>
      <c r="Y90" s="14">
        <v>0</v>
      </c>
      <c r="Z90" s="15">
        <v>-0.46153846153846156</v>
      </c>
      <c r="AA90" s="25"/>
      <c r="AB90" s="18">
        <v>27</v>
      </c>
      <c r="AC90" s="14">
        <v>22</v>
      </c>
      <c r="AD90" s="14">
        <v>20</v>
      </c>
      <c r="AE90" s="14">
        <v>16</v>
      </c>
      <c r="AF90" s="14">
        <v>16</v>
      </c>
      <c r="AG90" s="14">
        <v>12</v>
      </c>
      <c r="AH90" s="14">
        <v>13</v>
      </c>
      <c r="AI90" s="14">
        <v>20</v>
      </c>
      <c r="AJ90" s="14">
        <v>0</v>
      </c>
      <c r="AK90" s="15">
        <v>-0.4074074074074074</v>
      </c>
      <c r="AL90" s="26"/>
      <c r="AM90" s="18">
        <v>260</v>
      </c>
      <c r="AN90" s="14">
        <v>300</v>
      </c>
      <c r="AO90" s="14">
        <v>325</v>
      </c>
      <c r="AP90" s="14">
        <v>345</v>
      </c>
      <c r="AQ90" s="14">
        <v>417</v>
      </c>
      <c r="AR90" s="14">
        <v>487</v>
      </c>
      <c r="AS90" s="14">
        <v>528</v>
      </c>
      <c r="AT90" s="35">
        <v>228</v>
      </c>
      <c r="AU90" s="18">
        <v>6</v>
      </c>
      <c r="AV90" s="14">
        <v>5</v>
      </c>
      <c r="AW90" s="14">
        <v>8</v>
      </c>
      <c r="AX90" s="14">
        <v>15</v>
      </c>
      <c r="AY90" s="14">
        <v>17</v>
      </c>
      <c r="AZ90" s="14">
        <v>22</v>
      </c>
      <c r="BA90" s="14">
        <v>16</v>
      </c>
      <c r="BB90" s="34">
        <v>2.6666666666666665</v>
      </c>
    </row>
    <row r="91" spans="2:54" ht="15" customHeight="1">
      <c r="B91" s="19" t="s">
        <v>133</v>
      </c>
      <c r="C91" s="20">
        <v>1</v>
      </c>
      <c r="D91" s="20" t="s">
        <v>75</v>
      </c>
      <c r="E91" s="22">
        <v>75</v>
      </c>
      <c r="F91" s="18">
        <v>3</v>
      </c>
      <c r="G91" s="14">
        <v>2</v>
      </c>
      <c r="H91" s="14">
        <v>4</v>
      </c>
      <c r="I91" s="14">
        <v>4</v>
      </c>
      <c r="J91" s="14">
        <v>5</v>
      </c>
      <c r="K91" s="14">
        <v>5</v>
      </c>
      <c r="L91" s="14">
        <v>3</v>
      </c>
      <c r="M91" s="14">
        <v>5</v>
      </c>
      <c r="N91" s="14">
        <v>1</v>
      </c>
      <c r="O91" s="15">
        <v>0.25</v>
      </c>
      <c r="P91" s="25">
        <v>0.3333333333333333</v>
      </c>
      <c r="Q91" s="23">
        <v>3</v>
      </c>
      <c r="R91" s="14">
        <v>0</v>
      </c>
      <c r="S91" s="14">
        <v>0</v>
      </c>
      <c r="T91" s="14">
        <v>0</v>
      </c>
      <c r="U91" s="17">
        <v>0</v>
      </c>
      <c r="V91" s="17">
        <v>0</v>
      </c>
      <c r="W91" s="17">
        <v>0</v>
      </c>
      <c r="X91" s="17">
        <v>1</v>
      </c>
      <c r="Y91" s="14">
        <v>1</v>
      </c>
      <c r="Z91" s="15">
        <v>-1</v>
      </c>
      <c r="AA91" s="25"/>
      <c r="AB91" s="18">
        <v>6</v>
      </c>
      <c r="AC91" s="14">
        <v>0</v>
      </c>
      <c r="AD91" s="14">
        <v>0</v>
      </c>
      <c r="AE91" s="14">
        <v>1</v>
      </c>
      <c r="AF91" s="14">
        <v>16</v>
      </c>
      <c r="AG91" s="14">
        <v>0</v>
      </c>
      <c r="AH91" s="14">
        <v>1</v>
      </c>
      <c r="AI91" s="14">
        <v>2</v>
      </c>
      <c r="AJ91" s="14">
        <v>2</v>
      </c>
      <c r="AK91" s="15">
        <v>-0.8333333333333334</v>
      </c>
      <c r="AL91" s="26"/>
      <c r="AM91" s="18">
        <v>33</v>
      </c>
      <c r="AN91" s="14">
        <v>32</v>
      </c>
      <c r="AO91" s="14">
        <v>35</v>
      </c>
      <c r="AP91" s="14">
        <v>38</v>
      </c>
      <c r="AQ91" s="14">
        <v>54</v>
      </c>
      <c r="AR91" s="14">
        <v>64</v>
      </c>
      <c r="AS91" s="14">
        <v>57</v>
      </c>
      <c r="AT91" s="35">
        <v>25</v>
      </c>
      <c r="AU91" s="18">
        <v>0</v>
      </c>
      <c r="AV91" s="14">
        <v>3</v>
      </c>
      <c r="AW91" s="14">
        <v>4</v>
      </c>
      <c r="AX91" s="14">
        <v>2</v>
      </c>
      <c r="AY91" s="14">
        <v>5</v>
      </c>
      <c r="AZ91" s="14">
        <v>6</v>
      </c>
      <c r="BA91" s="14"/>
      <c r="BB91" s="34"/>
    </row>
    <row r="92" spans="2:54" ht="15" customHeight="1">
      <c r="B92" s="19" t="s">
        <v>134</v>
      </c>
      <c r="C92" s="20"/>
      <c r="D92" s="20"/>
      <c r="E92" s="21">
        <v>76</v>
      </c>
      <c r="F92" s="18">
        <v>55</v>
      </c>
      <c r="G92" s="14">
        <v>51</v>
      </c>
      <c r="H92" s="14">
        <v>47</v>
      </c>
      <c r="I92" s="14">
        <v>42</v>
      </c>
      <c r="J92" s="14">
        <v>48</v>
      </c>
      <c r="K92" s="14">
        <v>51</v>
      </c>
      <c r="L92" s="14">
        <v>54</v>
      </c>
      <c r="M92" s="14">
        <v>66</v>
      </c>
      <c r="N92" s="14">
        <v>19</v>
      </c>
      <c r="O92" s="15">
        <v>0.40425531914893614</v>
      </c>
      <c r="P92" s="25">
        <v>-0.23636363636363636</v>
      </c>
      <c r="Q92" s="23">
        <v>15</v>
      </c>
      <c r="R92" s="14">
        <v>13</v>
      </c>
      <c r="S92" s="14">
        <v>10</v>
      </c>
      <c r="T92" s="14">
        <v>8</v>
      </c>
      <c r="U92" s="17">
        <v>8</v>
      </c>
      <c r="V92" s="17">
        <v>8</v>
      </c>
      <c r="W92" s="17">
        <v>7</v>
      </c>
      <c r="X92" s="17">
        <v>11</v>
      </c>
      <c r="Y92" s="14">
        <v>1</v>
      </c>
      <c r="Z92" s="15">
        <v>-0.4666666666666667</v>
      </c>
      <c r="AA92" s="25"/>
      <c r="AB92" s="18">
        <v>27</v>
      </c>
      <c r="AC92" s="14">
        <v>25</v>
      </c>
      <c r="AD92" s="14">
        <v>18</v>
      </c>
      <c r="AE92" s="14">
        <v>17</v>
      </c>
      <c r="AF92" s="14">
        <v>0</v>
      </c>
      <c r="AG92" s="14">
        <v>19</v>
      </c>
      <c r="AH92" s="14">
        <v>16</v>
      </c>
      <c r="AI92" s="14">
        <v>29</v>
      </c>
      <c r="AJ92" s="14">
        <v>11</v>
      </c>
      <c r="AK92" s="15">
        <v>-0.37037037037037035</v>
      </c>
      <c r="AL92" s="26"/>
      <c r="AM92" s="18">
        <v>254</v>
      </c>
      <c r="AN92" s="14">
        <v>283</v>
      </c>
      <c r="AO92" s="14">
        <v>275</v>
      </c>
      <c r="AP92" s="14">
        <v>294</v>
      </c>
      <c r="AQ92" s="14">
        <v>359</v>
      </c>
      <c r="AR92" s="14">
        <v>428</v>
      </c>
      <c r="AS92" s="14">
        <v>448</v>
      </c>
      <c r="AT92" s="35">
        <v>165</v>
      </c>
      <c r="AU92" s="18">
        <v>15</v>
      </c>
      <c r="AV92" s="14">
        <v>17</v>
      </c>
      <c r="AW92" s="14">
        <v>20</v>
      </c>
      <c r="AX92" s="14">
        <v>20</v>
      </c>
      <c r="AY92" s="14">
        <v>27</v>
      </c>
      <c r="AZ92" s="14">
        <v>22</v>
      </c>
      <c r="BA92" s="14">
        <v>7</v>
      </c>
      <c r="BB92" s="34">
        <v>0.4666666666666667</v>
      </c>
    </row>
    <row r="93" spans="2:54" ht="15" customHeight="1">
      <c r="B93" s="19" t="s">
        <v>135</v>
      </c>
      <c r="C93" s="20" t="s">
        <v>63</v>
      </c>
      <c r="D93" s="20"/>
      <c r="E93" s="22">
        <v>77</v>
      </c>
      <c r="F93" s="18">
        <v>1270</v>
      </c>
      <c r="G93" s="14">
        <v>1191</v>
      </c>
      <c r="H93" s="14">
        <v>1121</v>
      </c>
      <c r="I93" s="14">
        <v>1014</v>
      </c>
      <c r="J93" s="14">
        <v>1051</v>
      </c>
      <c r="K93" s="14">
        <v>1131</v>
      </c>
      <c r="L93" s="14">
        <v>1337</v>
      </c>
      <c r="M93" s="14">
        <v>1566</v>
      </c>
      <c r="N93" s="14">
        <v>445</v>
      </c>
      <c r="O93" s="15">
        <v>0.39696699375557537</v>
      </c>
      <c r="P93" s="25">
        <v>-0.2015748031496063</v>
      </c>
      <c r="Q93" s="23">
        <v>686</v>
      </c>
      <c r="R93" s="14">
        <v>479</v>
      </c>
      <c r="S93" s="14">
        <v>371</v>
      </c>
      <c r="T93" s="14">
        <v>324</v>
      </c>
      <c r="U93" s="17">
        <v>349</v>
      </c>
      <c r="V93" s="17">
        <v>350</v>
      </c>
      <c r="W93" s="17">
        <v>381</v>
      </c>
      <c r="X93" s="17">
        <v>372</v>
      </c>
      <c r="Y93" s="14">
        <v>1</v>
      </c>
      <c r="Z93" s="15">
        <v>-0.5276967930029155</v>
      </c>
      <c r="AA93" s="25"/>
      <c r="AB93" s="18">
        <v>1795</v>
      </c>
      <c r="AC93" s="14">
        <v>1219</v>
      </c>
      <c r="AD93" s="14">
        <v>880</v>
      </c>
      <c r="AE93" s="14">
        <v>748</v>
      </c>
      <c r="AF93" s="14">
        <v>14</v>
      </c>
      <c r="AG93" s="14">
        <v>778</v>
      </c>
      <c r="AH93" s="14">
        <v>843</v>
      </c>
      <c r="AI93" s="14">
        <v>816</v>
      </c>
      <c r="AJ93" s="14">
        <v>-64</v>
      </c>
      <c r="AK93" s="15">
        <v>-0.5832869080779944</v>
      </c>
      <c r="AL93" s="26"/>
      <c r="AM93" s="18">
        <v>4790</v>
      </c>
      <c r="AN93" s="14">
        <v>5063</v>
      </c>
      <c r="AO93" s="14">
        <v>5235</v>
      </c>
      <c r="AP93" s="14">
        <v>5324</v>
      </c>
      <c r="AQ93" s="14">
        <v>5914</v>
      </c>
      <c r="AR93" s="14">
        <v>6505</v>
      </c>
      <c r="AS93" s="14">
        <v>6998</v>
      </c>
      <c r="AT93" s="35">
        <v>1935</v>
      </c>
      <c r="AU93" s="18">
        <v>235</v>
      </c>
      <c r="AV93" s="14">
        <v>265</v>
      </c>
      <c r="AW93" s="14">
        <v>310</v>
      </c>
      <c r="AX93" s="14">
        <v>327</v>
      </c>
      <c r="AY93" s="14">
        <v>380</v>
      </c>
      <c r="AZ93" s="14">
        <v>448</v>
      </c>
      <c r="BA93" s="14">
        <v>213</v>
      </c>
      <c r="BB93" s="34">
        <v>0.9063829787234042</v>
      </c>
    </row>
    <row r="94" spans="2:54" ht="15" customHeight="1">
      <c r="B94" s="19" t="s">
        <v>136</v>
      </c>
      <c r="C94" s="20"/>
      <c r="D94" s="20"/>
      <c r="E94" s="22">
        <v>78</v>
      </c>
      <c r="F94" s="18">
        <v>140</v>
      </c>
      <c r="G94" s="14">
        <v>138</v>
      </c>
      <c r="H94" s="14">
        <v>135</v>
      </c>
      <c r="I94" s="14">
        <v>119</v>
      </c>
      <c r="J94" s="14">
        <v>120</v>
      </c>
      <c r="K94" s="14">
        <v>116</v>
      </c>
      <c r="L94" s="14">
        <v>119</v>
      </c>
      <c r="M94" s="14">
        <v>124</v>
      </c>
      <c r="N94" s="14">
        <v>-11</v>
      </c>
      <c r="O94" s="15">
        <v>-0.08148148148148149</v>
      </c>
      <c r="P94" s="25">
        <v>-0.15</v>
      </c>
      <c r="Q94" s="23">
        <v>65</v>
      </c>
      <c r="R94" s="14">
        <v>29</v>
      </c>
      <c r="S94" s="14">
        <v>27</v>
      </c>
      <c r="T94" s="14">
        <v>28</v>
      </c>
      <c r="U94" s="17">
        <v>24</v>
      </c>
      <c r="V94" s="17">
        <v>25</v>
      </c>
      <c r="W94" s="17">
        <v>24</v>
      </c>
      <c r="X94" s="17">
        <v>18</v>
      </c>
      <c r="Y94" s="14">
        <v>-9</v>
      </c>
      <c r="Z94" s="15">
        <v>-0.5692307692307692</v>
      </c>
      <c r="AA94" s="25"/>
      <c r="AB94" s="18">
        <v>173</v>
      </c>
      <c r="AC94" s="14">
        <v>67</v>
      </c>
      <c r="AD94" s="14">
        <v>63</v>
      </c>
      <c r="AE94" s="14">
        <v>56</v>
      </c>
      <c r="AF94" s="14">
        <v>792</v>
      </c>
      <c r="AG94" s="14">
        <v>53</v>
      </c>
      <c r="AH94" s="14">
        <v>57</v>
      </c>
      <c r="AI94" s="14">
        <v>38</v>
      </c>
      <c r="AJ94" s="14">
        <v>-25</v>
      </c>
      <c r="AK94" s="15">
        <v>-0.6763005780346821</v>
      </c>
      <c r="AL94" s="26"/>
      <c r="AM94" s="18">
        <v>644</v>
      </c>
      <c r="AN94" s="14">
        <v>665</v>
      </c>
      <c r="AO94" s="14">
        <v>683</v>
      </c>
      <c r="AP94" s="14">
        <v>703</v>
      </c>
      <c r="AQ94" s="14">
        <v>769</v>
      </c>
      <c r="AR94" s="14">
        <v>800</v>
      </c>
      <c r="AS94" s="14">
        <v>845</v>
      </c>
      <c r="AT94" s="35">
        <v>180</v>
      </c>
      <c r="AU94" s="18">
        <v>26</v>
      </c>
      <c r="AV94" s="14">
        <v>36</v>
      </c>
      <c r="AW94" s="14">
        <v>42</v>
      </c>
      <c r="AX94" s="14">
        <v>41</v>
      </c>
      <c r="AY94" s="14">
        <v>42</v>
      </c>
      <c r="AZ94" s="14">
        <v>49</v>
      </c>
      <c r="BA94" s="14">
        <v>23</v>
      </c>
      <c r="BB94" s="34">
        <v>0.8846153846153846</v>
      </c>
    </row>
    <row r="95" spans="2:54" ht="15" customHeight="1">
      <c r="B95" s="19" t="s">
        <v>137</v>
      </c>
      <c r="C95" s="20">
        <v>1</v>
      </c>
      <c r="D95" s="20" t="s">
        <v>47</v>
      </c>
      <c r="E95" s="21">
        <v>79</v>
      </c>
      <c r="F95" s="18">
        <v>21</v>
      </c>
      <c r="G95" s="14">
        <v>20</v>
      </c>
      <c r="H95" s="14">
        <v>20</v>
      </c>
      <c r="I95" s="14">
        <v>19</v>
      </c>
      <c r="J95" s="14">
        <v>16</v>
      </c>
      <c r="K95" s="14">
        <v>17</v>
      </c>
      <c r="L95" s="14">
        <v>24</v>
      </c>
      <c r="M95" s="14">
        <v>31</v>
      </c>
      <c r="N95" s="14">
        <v>11</v>
      </c>
      <c r="O95" s="15">
        <v>0.55</v>
      </c>
      <c r="P95" s="25">
        <v>-0.09523809523809523</v>
      </c>
      <c r="Q95" s="23">
        <v>12</v>
      </c>
      <c r="R95" s="14">
        <v>6</v>
      </c>
      <c r="S95" s="14">
        <v>2</v>
      </c>
      <c r="T95" s="14">
        <v>3</v>
      </c>
      <c r="U95" s="17">
        <v>4</v>
      </c>
      <c r="V95" s="17">
        <v>4</v>
      </c>
      <c r="W95" s="17">
        <v>6</v>
      </c>
      <c r="X95" s="17">
        <v>4</v>
      </c>
      <c r="Y95" s="14">
        <v>2</v>
      </c>
      <c r="Z95" s="15">
        <v>-0.75</v>
      </c>
      <c r="AA95" s="25"/>
      <c r="AB95" s="18">
        <v>29</v>
      </c>
      <c r="AC95" s="14">
        <v>16</v>
      </c>
      <c r="AD95" s="14">
        <v>5</v>
      </c>
      <c r="AE95" s="14">
        <v>4</v>
      </c>
      <c r="AF95" s="14">
        <v>48</v>
      </c>
      <c r="AG95" s="14">
        <v>5</v>
      </c>
      <c r="AH95" s="14">
        <v>9</v>
      </c>
      <c r="AI95" s="14">
        <v>7</v>
      </c>
      <c r="AJ95" s="14">
        <v>2</v>
      </c>
      <c r="AK95" s="15">
        <v>-0.8620689655172413</v>
      </c>
      <c r="AL95" s="26"/>
      <c r="AM95" s="18">
        <v>165</v>
      </c>
      <c r="AN95" s="14">
        <v>184</v>
      </c>
      <c r="AO95" s="14">
        <v>185</v>
      </c>
      <c r="AP95" s="14">
        <v>199</v>
      </c>
      <c r="AQ95" s="14">
        <v>223</v>
      </c>
      <c r="AR95" s="14">
        <v>267</v>
      </c>
      <c r="AS95" s="14">
        <v>282</v>
      </c>
      <c r="AT95" s="35">
        <v>98</v>
      </c>
      <c r="AU95" s="18">
        <v>3</v>
      </c>
      <c r="AV95" s="14">
        <v>4</v>
      </c>
      <c r="AW95" s="14">
        <v>4</v>
      </c>
      <c r="AX95" s="14">
        <v>2</v>
      </c>
      <c r="AY95" s="14">
        <v>7</v>
      </c>
      <c r="AZ95" s="14">
        <v>8</v>
      </c>
      <c r="BA95" s="14">
        <v>5</v>
      </c>
      <c r="BB95" s="34">
        <v>1.6666666666666667</v>
      </c>
    </row>
    <row r="96" spans="2:54" ht="15" customHeight="1">
      <c r="B96" s="19" t="s">
        <v>138</v>
      </c>
      <c r="C96" s="20" t="s">
        <v>63</v>
      </c>
      <c r="D96" s="20"/>
      <c r="E96" s="22">
        <v>80</v>
      </c>
      <c r="F96" s="18">
        <v>2747</v>
      </c>
      <c r="G96" s="14">
        <v>2631</v>
      </c>
      <c r="H96" s="14">
        <v>2495</v>
      </c>
      <c r="I96" s="14">
        <v>2311</v>
      </c>
      <c r="J96" s="14">
        <v>2307</v>
      </c>
      <c r="K96" s="14">
        <v>2419</v>
      </c>
      <c r="L96" s="14">
        <v>2664</v>
      </c>
      <c r="M96" s="14">
        <v>2931</v>
      </c>
      <c r="N96" s="14">
        <v>436</v>
      </c>
      <c r="O96" s="15">
        <v>0.174749498997996</v>
      </c>
      <c r="P96" s="25">
        <v>-0.15871860211139424</v>
      </c>
      <c r="Q96" s="23">
        <v>1461</v>
      </c>
      <c r="R96" s="14">
        <v>1014</v>
      </c>
      <c r="S96" s="14">
        <v>873</v>
      </c>
      <c r="T96" s="14">
        <v>802</v>
      </c>
      <c r="U96" s="17">
        <v>824</v>
      </c>
      <c r="V96" s="17">
        <v>794</v>
      </c>
      <c r="W96" s="17">
        <v>788</v>
      </c>
      <c r="X96" s="17">
        <v>739</v>
      </c>
      <c r="Y96" s="14">
        <v>-134</v>
      </c>
      <c r="Z96" s="15">
        <v>-0.4510609171800137</v>
      </c>
      <c r="AA96" s="25"/>
      <c r="AB96" s="18">
        <v>4193</v>
      </c>
      <c r="AC96" s="14">
        <v>2665</v>
      </c>
      <c r="AD96" s="14">
        <v>2254</v>
      </c>
      <c r="AE96" s="14">
        <v>1999</v>
      </c>
      <c r="AF96" s="14">
        <v>6</v>
      </c>
      <c r="AG96" s="14">
        <v>1930</v>
      </c>
      <c r="AH96" s="14">
        <v>1858</v>
      </c>
      <c r="AI96" s="14">
        <v>1693</v>
      </c>
      <c r="AJ96" s="14">
        <v>-561</v>
      </c>
      <c r="AK96" s="15">
        <v>-0.5232530407822561</v>
      </c>
      <c r="AL96" s="26"/>
      <c r="AM96" s="18">
        <v>9409</v>
      </c>
      <c r="AN96" s="14">
        <v>9639</v>
      </c>
      <c r="AO96" s="14">
        <v>9871</v>
      </c>
      <c r="AP96" s="14">
        <v>9942</v>
      </c>
      <c r="AQ96" s="14">
        <v>10787</v>
      </c>
      <c r="AR96" s="14">
        <v>11222</v>
      </c>
      <c r="AS96" s="14">
        <v>11391</v>
      </c>
      <c r="AT96" s="35">
        <v>1752</v>
      </c>
      <c r="AU96" s="18">
        <v>471</v>
      </c>
      <c r="AV96" s="14">
        <v>547</v>
      </c>
      <c r="AW96" s="14">
        <v>574</v>
      </c>
      <c r="AX96" s="14">
        <v>641</v>
      </c>
      <c r="AY96" s="14">
        <v>619</v>
      </c>
      <c r="AZ96" s="14">
        <v>769</v>
      </c>
      <c r="BA96" s="14">
        <v>298</v>
      </c>
      <c r="BB96" s="34">
        <v>0.6326963906581741</v>
      </c>
    </row>
    <row r="97" spans="2:54" ht="15" customHeight="1">
      <c r="B97" s="19" t="s">
        <v>139</v>
      </c>
      <c r="C97" s="20">
        <v>1</v>
      </c>
      <c r="D97" s="20" t="s">
        <v>52</v>
      </c>
      <c r="E97" s="22">
        <v>81</v>
      </c>
      <c r="F97" s="18">
        <v>22</v>
      </c>
      <c r="G97" s="14">
        <v>23</v>
      </c>
      <c r="H97" s="14">
        <v>24</v>
      </c>
      <c r="I97" s="14">
        <v>21</v>
      </c>
      <c r="J97" s="14">
        <v>25</v>
      </c>
      <c r="K97" s="14">
        <v>23</v>
      </c>
      <c r="L97" s="14">
        <v>25</v>
      </c>
      <c r="M97" s="14">
        <v>24</v>
      </c>
      <c r="N97" s="14">
        <v>0</v>
      </c>
      <c r="O97" s="15">
        <v>0</v>
      </c>
      <c r="P97" s="25">
        <v>-0.045454545454545456</v>
      </c>
      <c r="Q97" s="23">
        <v>10</v>
      </c>
      <c r="R97" s="14">
        <v>10</v>
      </c>
      <c r="S97" s="14">
        <v>10</v>
      </c>
      <c r="T97" s="14">
        <v>7</v>
      </c>
      <c r="U97" s="17">
        <v>7</v>
      </c>
      <c r="V97" s="17">
        <v>6</v>
      </c>
      <c r="W97" s="17">
        <v>6</v>
      </c>
      <c r="X97" s="17">
        <v>4</v>
      </c>
      <c r="Y97" s="14">
        <v>-6</v>
      </c>
      <c r="Z97" s="15">
        <v>-0.3</v>
      </c>
      <c r="AA97" s="25"/>
      <c r="AB97" s="18">
        <v>29</v>
      </c>
      <c r="AC97" s="14">
        <v>20</v>
      </c>
      <c r="AD97" s="14">
        <v>19</v>
      </c>
      <c r="AE97" s="14">
        <v>11</v>
      </c>
      <c r="AF97" s="14">
        <v>2036</v>
      </c>
      <c r="AG97" s="14">
        <v>10</v>
      </c>
      <c r="AH97" s="14">
        <v>8</v>
      </c>
      <c r="AI97" s="14">
        <v>5</v>
      </c>
      <c r="AJ97" s="14">
        <v>-14</v>
      </c>
      <c r="AK97" s="15">
        <v>-0.6206896551724138</v>
      </c>
      <c r="AL97" s="26"/>
      <c r="AM97" s="18">
        <v>145</v>
      </c>
      <c r="AN97" s="14">
        <v>146</v>
      </c>
      <c r="AO97" s="14">
        <v>157</v>
      </c>
      <c r="AP97" s="14">
        <v>155</v>
      </c>
      <c r="AQ97" s="14">
        <v>179</v>
      </c>
      <c r="AR97" s="14">
        <v>198</v>
      </c>
      <c r="AS97" s="14">
        <v>215</v>
      </c>
      <c r="AT97" s="35">
        <v>69</v>
      </c>
      <c r="AU97" s="18">
        <v>2</v>
      </c>
      <c r="AV97" s="14">
        <v>5</v>
      </c>
      <c r="AW97" s="14">
        <v>6</v>
      </c>
      <c r="AX97" s="14">
        <v>7</v>
      </c>
      <c r="AY97" s="14">
        <v>5</v>
      </c>
      <c r="AZ97" s="14">
        <v>7</v>
      </c>
      <c r="BA97" s="14">
        <v>5</v>
      </c>
      <c r="BB97" s="34">
        <v>2.5</v>
      </c>
    </row>
    <row r="98" spans="2:54" ht="15" customHeight="1">
      <c r="B98" s="19" t="s">
        <v>140</v>
      </c>
      <c r="C98" s="20">
        <v>1</v>
      </c>
      <c r="D98" s="20" t="s">
        <v>75</v>
      </c>
      <c r="E98" s="21">
        <v>82</v>
      </c>
      <c r="F98" s="18">
        <v>22</v>
      </c>
      <c r="G98" s="14">
        <v>19</v>
      </c>
      <c r="H98" s="14">
        <v>17</v>
      </c>
      <c r="I98" s="14">
        <v>18</v>
      </c>
      <c r="J98" s="14">
        <v>18</v>
      </c>
      <c r="K98" s="14">
        <v>19</v>
      </c>
      <c r="L98" s="14">
        <v>17</v>
      </c>
      <c r="M98" s="14">
        <v>20</v>
      </c>
      <c r="N98" s="14">
        <v>3</v>
      </c>
      <c r="O98" s="15">
        <v>0.17647058823529413</v>
      </c>
      <c r="P98" s="25">
        <v>-0.18181818181818182</v>
      </c>
      <c r="Q98" s="23">
        <v>6</v>
      </c>
      <c r="R98" s="14">
        <v>4</v>
      </c>
      <c r="S98" s="14">
        <v>5</v>
      </c>
      <c r="T98" s="14">
        <v>4</v>
      </c>
      <c r="U98" s="17">
        <v>3</v>
      </c>
      <c r="V98" s="17">
        <v>3</v>
      </c>
      <c r="W98" s="17">
        <v>4</v>
      </c>
      <c r="X98" s="17">
        <v>3</v>
      </c>
      <c r="Y98" s="14">
        <v>-2</v>
      </c>
      <c r="Z98" s="15">
        <v>-0.3333333333333333</v>
      </c>
      <c r="AA98" s="25"/>
      <c r="AB98" s="18">
        <v>15</v>
      </c>
      <c r="AC98" s="14">
        <v>6</v>
      </c>
      <c r="AD98" s="14">
        <v>11</v>
      </c>
      <c r="AE98" s="14">
        <v>9</v>
      </c>
      <c r="AF98" s="14">
        <v>13</v>
      </c>
      <c r="AG98" s="14">
        <v>6</v>
      </c>
      <c r="AH98" s="14">
        <v>9</v>
      </c>
      <c r="AI98" s="14">
        <v>5</v>
      </c>
      <c r="AJ98" s="14">
        <v>-6</v>
      </c>
      <c r="AK98" s="15">
        <v>-0.4</v>
      </c>
      <c r="AL98" s="26"/>
      <c r="AM98" s="18">
        <v>76</v>
      </c>
      <c r="AN98" s="14">
        <v>73</v>
      </c>
      <c r="AO98" s="14">
        <v>72</v>
      </c>
      <c r="AP98" s="14">
        <v>82</v>
      </c>
      <c r="AQ98" s="14">
        <v>100</v>
      </c>
      <c r="AR98" s="14">
        <v>117</v>
      </c>
      <c r="AS98" s="14">
        <v>116</v>
      </c>
      <c r="AT98" s="35">
        <v>43</v>
      </c>
      <c r="AU98" s="18">
        <v>4</v>
      </c>
      <c r="AV98" s="14">
        <v>4</v>
      </c>
      <c r="AW98" s="14">
        <v>5</v>
      </c>
      <c r="AX98" s="14">
        <v>7</v>
      </c>
      <c r="AY98" s="14">
        <v>8</v>
      </c>
      <c r="AZ98" s="14">
        <v>14</v>
      </c>
      <c r="BA98" s="14">
        <v>10</v>
      </c>
      <c r="BB98" s="34">
        <v>2.5</v>
      </c>
    </row>
    <row r="99" spans="2:54" ht="15" customHeight="1">
      <c r="B99" s="19" t="s">
        <v>141</v>
      </c>
      <c r="C99" s="20"/>
      <c r="D99" s="20"/>
      <c r="E99" s="22">
        <v>83</v>
      </c>
      <c r="F99" s="18">
        <v>1252</v>
      </c>
      <c r="G99" s="14">
        <v>1117</v>
      </c>
      <c r="H99" s="14">
        <v>1064</v>
      </c>
      <c r="I99" s="14">
        <v>1040</v>
      </c>
      <c r="J99" s="14">
        <v>1081</v>
      </c>
      <c r="K99" s="14">
        <v>1172</v>
      </c>
      <c r="L99" s="14">
        <v>1334</v>
      </c>
      <c r="M99" s="14">
        <v>1465</v>
      </c>
      <c r="N99" s="14">
        <v>401</v>
      </c>
      <c r="O99" s="15">
        <v>0.3768796992481203</v>
      </c>
      <c r="P99" s="25">
        <v>-0.16932907348242812</v>
      </c>
      <c r="Q99" s="23">
        <v>574</v>
      </c>
      <c r="R99" s="14">
        <v>370</v>
      </c>
      <c r="S99" s="14">
        <v>335</v>
      </c>
      <c r="T99" s="14">
        <v>310</v>
      </c>
      <c r="U99" s="17">
        <v>290</v>
      </c>
      <c r="V99" s="17">
        <v>305</v>
      </c>
      <c r="W99" s="17">
        <v>298</v>
      </c>
      <c r="X99" s="17">
        <v>311</v>
      </c>
      <c r="Y99" s="14">
        <v>-24</v>
      </c>
      <c r="Z99" s="15">
        <v>-0.45993031358885017</v>
      </c>
      <c r="AA99" s="25"/>
      <c r="AB99" s="18">
        <v>1482</v>
      </c>
      <c r="AC99" s="14">
        <v>904</v>
      </c>
      <c r="AD99" s="14">
        <v>764</v>
      </c>
      <c r="AE99" s="14">
        <v>698</v>
      </c>
      <c r="AF99" s="14">
        <v>5</v>
      </c>
      <c r="AG99" s="14">
        <v>659</v>
      </c>
      <c r="AH99" s="14">
        <v>624</v>
      </c>
      <c r="AI99" s="14">
        <v>650</v>
      </c>
      <c r="AJ99" s="14">
        <v>-114</v>
      </c>
      <c r="AK99" s="15">
        <v>-0.5290148448043185</v>
      </c>
      <c r="AL99" s="26"/>
      <c r="AM99" s="18">
        <v>4242</v>
      </c>
      <c r="AN99" s="14">
        <v>4330</v>
      </c>
      <c r="AO99" s="14">
        <v>4383</v>
      </c>
      <c r="AP99" s="14">
        <v>4488</v>
      </c>
      <c r="AQ99" s="14">
        <v>4911</v>
      </c>
      <c r="AR99" s="14">
        <v>5330</v>
      </c>
      <c r="AS99" s="14">
        <v>5546</v>
      </c>
      <c r="AT99" s="35">
        <v>1216</v>
      </c>
      <c r="AU99" s="18">
        <v>264</v>
      </c>
      <c r="AV99" s="14">
        <v>315</v>
      </c>
      <c r="AW99" s="14">
        <v>341</v>
      </c>
      <c r="AX99" s="14">
        <v>404</v>
      </c>
      <c r="AY99" s="14">
        <v>455</v>
      </c>
      <c r="AZ99" s="14">
        <v>493</v>
      </c>
      <c r="BA99" s="14">
        <v>229</v>
      </c>
      <c r="BB99" s="34">
        <v>0.8674242424242424</v>
      </c>
    </row>
    <row r="100" spans="2:54" ht="15" customHeight="1">
      <c r="B100" s="19" t="s">
        <v>142</v>
      </c>
      <c r="C100" s="20" t="s">
        <v>63</v>
      </c>
      <c r="D100" s="20"/>
      <c r="E100" s="22">
        <v>84</v>
      </c>
      <c r="F100" s="18">
        <v>575</v>
      </c>
      <c r="G100" s="14">
        <v>567</v>
      </c>
      <c r="H100" s="14">
        <v>535</v>
      </c>
      <c r="I100" s="14">
        <v>512</v>
      </c>
      <c r="J100" s="14">
        <v>516</v>
      </c>
      <c r="K100" s="14">
        <v>538</v>
      </c>
      <c r="L100" s="14">
        <v>588</v>
      </c>
      <c r="M100" s="14">
        <v>639</v>
      </c>
      <c r="N100" s="14">
        <v>104</v>
      </c>
      <c r="O100" s="15">
        <v>0.19439252336448598</v>
      </c>
      <c r="P100" s="25">
        <v>-0.10956521739130434</v>
      </c>
      <c r="Q100" s="23">
        <v>283</v>
      </c>
      <c r="R100" s="14">
        <v>211</v>
      </c>
      <c r="S100" s="14">
        <v>150</v>
      </c>
      <c r="T100" s="14">
        <v>129</v>
      </c>
      <c r="U100" s="17">
        <v>126</v>
      </c>
      <c r="V100" s="17">
        <v>106</v>
      </c>
      <c r="W100" s="17">
        <v>118</v>
      </c>
      <c r="X100" s="17">
        <v>123</v>
      </c>
      <c r="Y100" s="14">
        <v>-27</v>
      </c>
      <c r="Z100" s="15">
        <v>-0.5441696113074205</v>
      </c>
      <c r="AA100" s="25"/>
      <c r="AB100" s="18">
        <v>740</v>
      </c>
      <c r="AC100" s="14">
        <v>526</v>
      </c>
      <c r="AD100" s="14">
        <v>341</v>
      </c>
      <c r="AE100" s="14">
        <v>286</v>
      </c>
      <c r="AF100" s="14">
        <v>626</v>
      </c>
      <c r="AG100" s="14">
        <v>248</v>
      </c>
      <c r="AH100" s="14">
        <v>258</v>
      </c>
      <c r="AI100" s="14">
        <v>269</v>
      </c>
      <c r="AJ100" s="14">
        <v>-72</v>
      </c>
      <c r="AK100" s="15">
        <v>-0.6135135135135135</v>
      </c>
      <c r="AL100" s="26"/>
      <c r="AM100" s="18">
        <v>2409</v>
      </c>
      <c r="AN100" s="14">
        <v>2479</v>
      </c>
      <c r="AO100" s="14">
        <v>2478</v>
      </c>
      <c r="AP100" s="14">
        <v>2469</v>
      </c>
      <c r="AQ100" s="14">
        <v>2768</v>
      </c>
      <c r="AR100" s="14">
        <v>3061</v>
      </c>
      <c r="AS100" s="14">
        <v>3193</v>
      </c>
      <c r="AT100" s="35">
        <v>714</v>
      </c>
      <c r="AU100" s="18">
        <v>100</v>
      </c>
      <c r="AV100" s="14">
        <v>128</v>
      </c>
      <c r="AW100" s="14">
        <v>145</v>
      </c>
      <c r="AX100" s="14">
        <v>197</v>
      </c>
      <c r="AY100" s="14">
        <v>200</v>
      </c>
      <c r="AZ100" s="14">
        <v>220</v>
      </c>
      <c r="BA100" s="14">
        <v>120</v>
      </c>
      <c r="BB100" s="34">
        <v>1.2</v>
      </c>
    </row>
    <row r="101" spans="2:54" ht="15" customHeight="1">
      <c r="B101" s="19" t="s">
        <v>143</v>
      </c>
      <c r="C101" s="20"/>
      <c r="D101" s="20"/>
      <c r="E101" s="21">
        <v>85</v>
      </c>
      <c r="F101" s="18">
        <v>46</v>
      </c>
      <c r="G101" s="14">
        <v>41</v>
      </c>
      <c r="H101" s="14">
        <v>40</v>
      </c>
      <c r="I101" s="14">
        <v>37</v>
      </c>
      <c r="J101" s="14">
        <v>39</v>
      </c>
      <c r="K101" s="14">
        <v>39</v>
      </c>
      <c r="L101" s="14">
        <v>45</v>
      </c>
      <c r="M101" s="14">
        <v>50</v>
      </c>
      <c r="N101" s="14">
        <v>10</v>
      </c>
      <c r="O101" s="15">
        <v>0.25</v>
      </c>
      <c r="P101" s="25">
        <v>-0.1956521739130435</v>
      </c>
      <c r="Q101" s="23">
        <v>23</v>
      </c>
      <c r="R101" s="14">
        <v>20</v>
      </c>
      <c r="S101" s="14">
        <v>11</v>
      </c>
      <c r="T101" s="14">
        <v>9</v>
      </c>
      <c r="U101" s="17">
        <v>10</v>
      </c>
      <c r="V101" s="17">
        <v>11</v>
      </c>
      <c r="W101" s="17">
        <v>13</v>
      </c>
      <c r="X101" s="17">
        <v>12</v>
      </c>
      <c r="Y101" s="14">
        <v>1</v>
      </c>
      <c r="Z101" s="15">
        <v>-0.6086956521739131</v>
      </c>
      <c r="AA101" s="25"/>
      <c r="AB101" s="18">
        <v>57</v>
      </c>
      <c r="AC101" s="14">
        <v>49</v>
      </c>
      <c r="AD101" s="14">
        <v>22</v>
      </c>
      <c r="AE101" s="14">
        <v>19</v>
      </c>
      <c r="AF101" s="14">
        <v>290</v>
      </c>
      <c r="AG101" s="14">
        <v>17</v>
      </c>
      <c r="AH101" s="14">
        <v>29</v>
      </c>
      <c r="AI101" s="14">
        <v>22</v>
      </c>
      <c r="AJ101" s="14">
        <v>0</v>
      </c>
      <c r="AK101" s="15">
        <v>-0.6666666666666666</v>
      </c>
      <c r="AL101" s="26"/>
      <c r="AM101" s="18">
        <v>269</v>
      </c>
      <c r="AN101" s="14">
        <v>286</v>
      </c>
      <c r="AO101" s="14">
        <v>308</v>
      </c>
      <c r="AP101" s="14">
        <v>314</v>
      </c>
      <c r="AQ101" s="14">
        <v>410</v>
      </c>
      <c r="AR101" s="14">
        <v>479</v>
      </c>
      <c r="AS101" s="14">
        <v>550</v>
      </c>
      <c r="AT101" s="35">
        <v>264</v>
      </c>
      <c r="AU101" s="18">
        <v>14</v>
      </c>
      <c r="AV101" s="14">
        <v>14</v>
      </c>
      <c r="AW101" s="14">
        <v>14</v>
      </c>
      <c r="AX101" s="14">
        <v>18</v>
      </c>
      <c r="AY101" s="14">
        <v>25</v>
      </c>
      <c r="AZ101" s="14">
        <v>30</v>
      </c>
      <c r="BA101" s="14">
        <v>16</v>
      </c>
      <c r="BB101" s="34">
        <v>1.1428571428571428</v>
      </c>
    </row>
    <row r="102" spans="2:54" ht="15" customHeight="1">
      <c r="B102" s="19" t="s">
        <v>144</v>
      </c>
      <c r="C102" s="20"/>
      <c r="D102" s="20"/>
      <c r="E102" s="22">
        <v>86</v>
      </c>
      <c r="F102" s="18">
        <v>143</v>
      </c>
      <c r="G102" s="14">
        <v>145</v>
      </c>
      <c r="H102" s="14">
        <v>156</v>
      </c>
      <c r="I102" s="14">
        <v>159</v>
      </c>
      <c r="J102" s="14">
        <v>149</v>
      </c>
      <c r="K102" s="14">
        <v>177</v>
      </c>
      <c r="L102" s="14">
        <v>201</v>
      </c>
      <c r="M102" s="14">
        <v>236</v>
      </c>
      <c r="N102" s="14">
        <v>80</v>
      </c>
      <c r="O102" s="15">
        <v>0.5128205128205128</v>
      </c>
      <c r="P102" s="25">
        <v>0.11188811188811189</v>
      </c>
      <c r="Q102" s="23">
        <v>85</v>
      </c>
      <c r="R102" s="14">
        <v>69</v>
      </c>
      <c r="S102" s="14">
        <v>66</v>
      </c>
      <c r="T102" s="14">
        <v>57</v>
      </c>
      <c r="U102" s="17">
        <v>51</v>
      </c>
      <c r="V102" s="17">
        <v>47</v>
      </c>
      <c r="W102" s="17">
        <v>49</v>
      </c>
      <c r="X102" s="17">
        <v>59</v>
      </c>
      <c r="Y102" s="14">
        <v>-7</v>
      </c>
      <c r="Z102" s="15">
        <v>-0.32941176470588235</v>
      </c>
      <c r="AA102" s="25"/>
      <c r="AB102" s="18">
        <v>199</v>
      </c>
      <c r="AC102" s="14">
        <v>144</v>
      </c>
      <c r="AD102" s="14">
        <v>137</v>
      </c>
      <c r="AE102" s="14">
        <v>109</v>
      </c>
      <c r="AF102" s="14">
        <v>18</v>
      </c>
      <c r="AG102" s="14">
        <v>87</v>
      </c>
      <c r="AH102" s="14">
        <v>97</v>
      </c>
      <c r="AI102" s="14">
        <v>114</v>
      </c>
      <c r="AJ102" s="14">
        <v>-23</v>
      </c>
      <c r="AK102" s="15">
        <v>-0.45226130653266333</v>
      </c>
      <c r="AL102" s="26"/>
      <c r="AM102" s="18">
        <v>879</v>
      </c>
      <c r="AN102" s="14">
        <v>917</v>
      </c>
      <c r="AO102" s="14">
        <v>1050</v>
      </c>
      <c r="AP102" s="14">
        <v>1153</v>
      </c>
      <c r="AQ102" s="14">
        <v>1321</v>
      </c>
      <c r="AR102" s="14">
        <v>1384</v>
      </c>
      <c r="AS102" s="14">
        <v>1379</v>
      </c>
      <c r="AT102" s="35">
        <v>462</v>
      </c>
      <c r="AU102" s="18">
        <v>34</v>
      </c>
      <c r="AV102" s="14">
        <v>34</v>
      </c>
      <c r="AW102" s="14">
        <v>37</v>
      </c>
      <c r="AX102" s="14">
        <v>44</v>
      </c>
      <c r="AY102" s="14">
        <v>58</v>
      </c>
      <c r="AZ102" s="14">
        <v>71</v>
      </c>
      <c r="BA102" s="14">
        <v>37</v>
      </c>
      <c r="BB102" s="34">
        <v>1.088235294117647</v>
      </c>
    </row>
    <row r="103" spans="2:54" ht="15" customHeight="1">
      <c r="B103" s="19" t="s">
        <v>145</v>
      </c>
      <c r="C103" s="20">
        <v>1</v>
      </c>
      <c r="D103" s="20" t="s">
        <v>52</v>
      </c>
      <c r="E103" s="22">
        <v>87</v>
      </c>
      <c r="F103" s="18">
        <v>10</v>
      </c>
      <c r="G103" s="14">
        <v>10</v>
      </c>
      <c r="H103" s="14">
        <v>10</v>
      </c>
      <c r="I103" s="14">
        <v>9</v>
      </c>
      <c r="J103" s="14">
        <v>8</v>
      </c>
      <c r="K103" s="14">
        <v>8</v>
      </c>
      <c r="L103" s="14">
        <v>9</v>
      </c>
      <c r="M103" s="14">
        <v>12</v>
      </c>
      <c r="N103" s="14">
        <v>2</v>
      </c>
      <c r="O103" s="15">
        <v>0.2</v>
      </c>
      <c r="P103" s="25">
        <v>-0.1</v>
      </c>
      <c r="Q103" s="23">
        <v>5</v>
      </c>
      <c r="R103" s="14">
        <v>3</v>
      </c>
      <c r="S103" s="14">
        <v>5</v>
      </c>
      <c r="T103" s="14">
        <v>2</v>
      </c>
      <c r="U103" s="17">
        <v>3</v>
      </c>
      <c r="V103" s="17">
        <v>5</v>
      </c>
      <c r="W103" s="17">
        <v>1</v>
      </c>
      <c r="X103" s="17">
        <v>4</v>
      </c>
      <c r="Y103" s="14">
        <v>-1</v>
      </c>
      <c r="Z103" s="15">
        <v>-0.6</v>
      </c>
      <c r="AA103" s="25"/>
      <c r="AB103" s="18">
        <v>12</v>
      </c>
      <c r="AC103" s="14">
        <v>8</v>
      </c>
      <c r="AD103" s="14">
        <v>12</v>
      </c>
      <c r="AE103" s="14">
        <v>3</v>
      </c>
      <c r="AF103" s="14">
        <v>94</v>
      </c>
      <c r="AG103" s="14">
        <v>11</v>
      </c>
      <c r="AH103" s="14">
        <v>3</v>
      </c>
      <c r="AI103" s="14">
        <v>9</v>
      </c>
      <c r="AJ103" s="14">
        <v>-3</v>
      </c>
      <c r="AK103" s="15">
        <v>-0.75</v>
      </c>
      <c r="AL103" s="26"/>
      <c r="AM103" s="18">
        <v>46</v>
      </c>
      <c r="AN103" s="14">
        <v>60</v>
      </c>
      <c r="AO103" s="14">
        <v>61</v>
      </c>
      <c r="AP103" s="14">
        <v>71</v>
      </c>
      <c r="AQ103" s="14">
        <v>111</v>
      </c>
      <c r="AR103" s="14">
        <v>132</v>
      </c>
      <c r="AS103" s="14">
        <v>130</v>
      </c>
      <c r="AT103" s="35">
        <v>70</v>
      </c>
      <c r="AU103" s="18">
        <v>2</v>
      </c>
      <c r="AV103" s="14">
        <v>2</v>
      </c>
      <c r="AW103" s="14">
        <v>2</v>
      </c>
      <c r="AX103" s="14">
        <v>3</v>
      </c>
      <c r="AY103" s="14">
        <v>5</v>
      </c>
      <c r="AZ103" s="14">
        <v>4</v>
      </c>
      <c r="BA103" s="14">
        <v>2</v>
      </c>
      <c r="BB103" s="34">
        <v>1</v>
      </c>
    </row>
    <row r="104" spans="2:54" ht="15" customHeight="1">
      <c r="B104" s="19" t="s">
        <v>146</v>
      </c>
      <c r="C104" s="20"/>
      <c r="D104" s="20"/>
      <c r="E104" s="21">
        <v>88</v>
      </c>
      <c r="F104" s="18">
        <v>556</v>
      </c>
      <c r="G104" s="14">
        <v>522</v>
      </c>
      <c r="H104" s="14">
        <v>488</v>
      </c>
      <c r="I104" s="14">
        <v>480</v>
      </c>
      <c r="J104" s="14">
        <v>473</v>
      </c>
      <c r="K104" s="14">
        <v>525</v>
      </c>
      <c r="L104" s="14">
        <v>603</v>
      </c>
      <c r="M104" s="14">
        <v>686</v>
      </c>
      <c r="N104" s="14">
        <v>198</v>
      </c>
      <c r="O104" s="15">
        <v>0.4057377049180328</v>
      </c>
      <c r="P104" s="25">
        <v>-0.1366906474820144</v>
      </c>
      <c r="Q104" s="23">
        <v>336</v>
      </c>
      <c r="R104" s="14">
        <v>216</v>
      </c>
      <c r="S104" s="14">
        <v>167</v>
      </c>
      <c r="T104" s="14">
        <v>158</v>
      </c>
      <c r="U104" s="17">
        <v>145</v>
      </c>
      <c r="V104" s="17">
        <v>146</v>
      </c>
      <c r="W104" s="17">
        <v>150</v>
      </c>
      <c r="X104" s="17">
        <v>157</v>
      </c>
      <c r="Y104" s="14">
        <v>-10</v>
      </c>
      <c r="Z104" s="15">
        <v>-0.5297619047619048</v>
      </c>
      <c r="AA104" s="25"/>
      <c r="AB104" s="18">
        <v>911</v>
      </c>
      <c r="AC104" s="14">
        <v>561</v>
      </c>
      <c r="AD104" s="14">
        <v>400</v>
      </c>
      <c r="AE104" s="14">
        <v>374</v>
      </c>
      <c r="AF104" s="14">
        <v>8</v>
      </c>
      <c r="AG104" s="14">
        <v>326</v>
      </c>
      <c r="AH104" s="14">
        <v>321</v>
      </c>
      <c r="AI104" s="14">
        <v>339</v>
      </c>
      <c r="AJ104" s="14">
        <v>-61</v>
      </c>
      <c r="AK104" s="15">
        <v>-0.5894621295279913</v>
      </c>
      <c r="AL104" s="26"/>
      <c r="AM104" s="18">
        <v>2313</v>
      </c>
      <c r="AN104" s="14">
        <v>2427</v>
      </c>
      <c r="AO104" s="14">
        <v>2505</v>
      </c>
      <c r="AP104" s="14">
        <v>2604</v>
      </c>
      <c r="AQ104" s="14">
        <v>2937</v>
      </c>
      <c r="AR104" s="14">
        <v>3347</v>
      </c>
      <c r="AS104" s="14">
        <v>3525</v>
      </c>
      <c r="AT104" s="35">
        <v>1098</v>
      </c>
      <c r="AU104" s="18">
        <v>82</v>
      </c>
      <c r="AV104" s="14">
        <v>98</v>
      </c>
      <c r="AW104" s="14">
        <v>106</v>
      </c>
      <c r="AX104" s="14">
        <v>132</v>
      </c>
      <c r="AY104" s="14">
        <v>139</v>
      </c>
      <c r="AZ104" s="14">
        <v>162</v>
      </c>
      <c r="BA104" s="14">
        <v>80</v>
      </c>
      <c r="BB104" s="34">
        <v>0.975609756097561</v>
      </c>
    </row>
    <row r="105" spans="2:54" ht="15" customHeight="1">
      <c r="B105" s="19" t="s">
        <v>147</v>
      </c>
      <c r="C105" s="20" t="s">
        <v>63</v>
      </c>
      <c r="D105" s="20"/>
      <c r="E105" s="22">
        <v>89</v>
      </c>
      <c r="F105" s="18">
        <v>4433</v>
      </c>
      <c r="G105" s="14">
        <v>4239</v>
      </c>
      <c r="H105" s="14">
        <v>4022</v>
      </c>
      <c r="I105" s="14">
        <v>3802</v>
      </c>
      <c r="J105" s="14">
        <v>4103</v>
      </c>
      <c r="K105" s="14">
        <v>4555</v>
      </c>
      <c r="L105" s="14">
        <v>5064</v>
      </c>
      <c r="M105" s="14">
        <v>5477</v>
      </c>
      <c r="N105" s="14">
        <v>1455</v>
      </c>
      <c r="O105" s="15">
        <v>0.36176031824962707</v>
      </c>
      <c r="P105" s="25">
        <v>-0.14234152943830364</v>
      </c>
      <c r="Q105" s="23">
        <v>2427</v>
      </c>
      <c r="R105" s="14">
        <v>1849</v>
      </c>
      <c r="S105" s="14">
        <v>1576</v>
      </c>
      <c r="T105" s="14">
        <v>1425</v>
      </c>
      <c r="U105" s="17">
        <v>1404</v>
      </c>
      <c r="V105" s="17">
        <v>1377</v>
      </c>
      <c r="W105" s="17">
        <v>1376</v>
      </c>
      <c r="X105" s="17">
        <v>1382</v>
      </c>
      <c r="Y105" s="14">
        <v>-194</v>
      </c>
      <c r="Z105" s="15">
        <v>-0.41285537700865266</v>
      </c>
      <c r="AA105" s="25"/>
      <c r="AB105" s="18">
        <v>6940</v>
      </c>
      <c r="AC105" s="14">
        <v>5047</v>
      </c>
      <c r="AD105" s="14">
        <v>4098</v>
      </c>
      <c r="AE105" s="14">
        <v>3642</v>
      </c>
      <c r="AF105" s="14">
        <v>353</v>
      </c>
      <c r="AG105" s="14">
        <v>3288</v>
      </c>
      <c r="AH105" s="14">
        <v>3219</v>
      </c>
      <c r="AI105" s="14">
        <v>3183</v>
      </c>
      <c r="AJ105" s="14">
        <v>-915</v>
      </c>
      <c r="AK105" s="15">
        <v>-0.47521613832853027</v>
      </c>
      <c r="AL105" s="26"/>
      <c r="AM105" s="18">
        <v>14012</v>
      </c>
      <c r="AN105" s="14">
        <v>14636</v>
      </c>
      <c r="AO105" s="14">
        <v>14986</v>
      </c>
      <c r="AP105" s="14">
        <v>15139</v>
      </c>
      <c r="AQ105" s="14">
        <v>16146</v>
      </c>
      <c r="AR105" s="14">
        <v>17076</v>
      </c>
      <c r="AS105" s="14">
        <v>17590</v>
      </c>
      <c r="AT105" s="35">
        <v>2954</v>
      </c>
      <c r="AU105" s="18">
        <v>871</v>
      </c>
      <c r="AV105" s="14">
        <v>944</v>
      </c>
      <c r="AW105" s="14">
        <v>1056</v>
      </c>
      <c r="AX105" s="14">
        <v>1223</v>
      </c>
      <c r="AY105" s="14">
        <v>1339</v>
      </c>
      <c r="AZ105" s="14">
        <v>1442</v>
      </c>
      <c r="BA105" s="14">
        <v>571</v>
      </c>
      <c r="BB105" s="34">
        <v>0.6555683122847302</v>
      </c>
    </row>
    <row r="106" spans="2:54" ht="15" customHeight="1">
      <c r="B106" s="19" t="s">
        <v>148</v>
      </c>
      <c r="C106" s="20"/>
      <c r="D106" s="20"/>
      <c r="E106" s="22">
        <v>90</v>
      </c>
      <c r="F106" s="18">
        <v>30</v>
      </c>
      <c r="G106" s="14">
        <v>26</v>
      </c>
      <c r="H106" s="14">
        <v>25</v>
      </c>
      <c r="I106" s="14">
        <v>27</v>
      </c>
      <c r="J106" s="14">
        <v>26</v>
      </c>
      <c r="K106" s="14">
        <v>26</v>
      </c>
      <c r="L106" s="14">
        <v>28</v>
      </c>
      <c r="M106" s="14">
        <v>30</v>
      </c>
      <c r="N106" s="14">
        <v>5</v>
      </c>
      <c r="O106" s="15">
        <v>0.2</v>
      </c>
      <c r="P106" s="25">
        <v>-0.1</v>
      </c>
      <c r="Q106" s="23">
        <v>8</v>
      </c>
      <c r="R106" s="14">
        <v>5</v>
      </c>
      <c r="S106" s="14">
        <v>3</v>
      </c>
      <c r="T106" s="14">
        <v>5</v>
      </c>
      <c r="U106" s="17">
        <v>6</v>
      </c>
      <c r="V106" s="17">
        <v>5</v>
      </c>
      <c r="W106" s="17">
        <v>3</v>
      </c>
      <c r="X106" s="17">
        <v>4</v>
      </c>
      <c r="Y106" s="14">
        <v>1</v>
      </c>
      <c r="Z106" s="15">
        <v>-0.375</v>
      </c>
      <c r="AA106" s="25"/>
      <c r="AB106" s="18">
        <v>22</v>
      </c>
      <c r="AC106" s="14">
        <v>13</v>
      </c>
      <c r="AD106" s="14">
        <v>4</v>
      </c>
      <c r="AE106" s="14">
        <v>12</v>
      </c>
      <c r="AF106" s="14">
        <v>3446</v>
      </c>
      <c r="AG106" s="14">
        <v>8</v>
      </c>
      <c r="AH106" s="14">
        <v>5</v>
      </c>
      <c r="AI106" s="14">
        <v>10</v>
      </c>
      <c r="AJ106" s="14">
        <v>6</v>
      </c>
      <c r="AK106" s="15">
        <v>-0.45454545454545453</v>
      </c>
      <c r="AL106" s="26"/>
      <c r="AM106" s="18">
        <v>156</v>
      </c>
      <c r="AN106" s="14">
        <v>161</v>
      </c>
      <c r="AO106" s="14">
        <v>166</v>
      </c>
      <c r="AP106" s="14">
        <v>173</v>
      </c>
      <c r="AQ106" s="14">
        <v>203</v>
      </c>
      <c r="AR106" s="14">
        <v>224</v>
      </c>
      <c r="AS106" s="14">
        <v>230</v>
      </c>
      <c r="AT106" s="35">
        <v>69</v>
      </c>
      <c r="AU106" s="18">
        <v>10</v>
      </c>
      <c r="AV106" s="14">
        <v>7</v>
      </c>
      <c r="AW106" s="14">
        <v>11</v>
      </c>
      <c r="AX106" s="14">
        <v>9</v>
      </c>
      <c r="AY106" s="14">
        <v>7</v>
      </c>
      <c r="AZ106" s="14">
        <v>9</v>
      </c>
      <c r="BA106" s="14">
        <v>-1</v>
      </c>
      <c r="BB106" s="34">
        <v>-0.1</v>
      </c>
    </row>
    <row r="107" spans="2:54" ht="15" customHeight="1">
      <c r="B107" s="19" t="s">
        <v>149</v>
      </c>
      <c r="C107" s="20"/>
      <c r="D107" s="20"/>
      <c r="E107" s="21">
        <v>91</v>
      </c>
      <c r="F107" s="18">
        <v>30</v>
      </c>
      <c r="G107" s="14">
        <v>32</v>
      </c>
      <c r="H107" s="14">
        <v>32</v>
      </c>
      <c r="I107" s="14">
        <v>31</v>
      </c>
      <c r="J107" s="14">
        <v>35</v>
      </c>
      <c r="K107" s="14">
        <v>33</v>
      </c>
      <c r="L107" s="14">
        <v>34</v>
      </c>
      <c r="M107" s="14">
        <v>37</v>
      </c>
      <c r="N107" s="14">
        <v>5</v>
      </c>
      <c r="O107" s="15">
        <v>0.15625</v>
      </c>
      <c r="P107" s="25">
        <v>0.03333333333333333</v>
      </c>
      <c r="Q107" s="23">
        <v>26</v>
      </c>
      <c r="R107" s="14">
        <v>17</v>
      </c>
      <c r="S107" s="14">
        <v>15</v>
      </c>
      <c r="T107" s="14">
        <v>12</v>
      </c>
      <c r="U107" s="17">
        <v>14</v>
      </c>
      <c r="V107" s="17">
        <v>14</v>
      </c>
      <c r="W107" s="17">
        <v>10</v>
      </c>
      <c r="X107" s="17">
        <v>8</v>
      </c>
      <c r="Y107" s="14">
        <v>-7</v>
      </c>
      <c r="Z107" s="15">
        <v>-0.5384615384615384</v>
      </c>
      <c r="AA107" s="25"/>
      <c r="AB107" s="18">
        <v>72</v>
      </c>
      <c r="AC107" s="14">
        <v>37</v>
      </c>
      <c r="AD107" s="14">
        <v>34</v>
      </c>
      <c r="AE107" s="14">
        <v>20</v>
      </c>
      <c r="AF107" s="14">
        <v>12</v>
      </c>
      <c r="AG107" s="14">
        <v>28</v>
      </c>
      <c r="AH107" s="14">
        <v>20</v>
      </c>
      <c r="AI107" s="14">
        <v>16</v>
      </c>
      <c r="AJ107" s="14">
        <v>-18</v>
      </c>
      <c r="AK107" s="15">
        <v>-0.7222222222222222</v>
      </c>
      <c r="AL107" s="26"/>
      <c r="AM107" s="18">
        <v>241</v>
      </c>
      <c r="AN107" s="14">
        <v>292</v>
      </c>
      <c r="AO107" s="14">
        <v>323</v>
      </c>
      <c r="AP107" s="14">
        <v>316</v>
      </c>
      <c r="AQ107" s="14">
        <v>423</v>
      </c>
      <c r="AR107" s="14">
        <v>485</v>
      </c>
      <c r="AS107" s="14">
        <v>547</v>
      </c>
      <c r="AT107" s="35">
        <v>255</v>
      </c>
      <c r="AU107" s="18">
        <v>7</v>
      </c>
      <c r="AV107" s="14">
        <v>12</v>
      </c>
      <c r="AW107" s="14">
        <v>13</v>
      </c>
      <c r="AX107" s="14">
        <v>16</v>
      </c>
      <c r="AY107" s="14">
        <v>16</v>
      </c>
      <c r="AZ107" s="14">
        <v>18</v>
      </c>
      <c r="BA107" s="14">
        <v>11</v>
      </c>
      <c r="BB107" s="34">
        <v>1.5714285714285714</v>
      </c>
    </row>
    <row r="108" spans="2:54" ht="15" customHeight="1">
      <c r="B108" s="19" t="s">
        <v>150</v>
      </c>
      <c r="C108" s="20">
        <v>1</v>
      </c>
      <c r="D108" s="20" t="s">
        <v>52</v>
      </c>
      <c r="E108" s="22">
        <v>92</v>
      </c>
      <c r="F108" s="18">
        <v>24</v>
      </c>
      <c r="G108" s="14">
        <v>20</v>
      </c>
      <c r="H108" s="14">
        <v>15</v>
      </c>
      <c r="I108" s="14">
        <v>19</v>
      </c>
      <c r="J108" s="14">
        <v>15</v>
      </c>
      <c r="K108" s="14">
        <v>20</v>
      </c>
      <c r="L108" s="14">
        <v>25</v>
      </c>
      <c r="M108" s="14">
        <v>29</v>
      </c>
      <c r="N108" s="14">
        <v>14</v>
      </c>
      <c r="O108" s="15">
        <v>0.9333333333333333</v>
      </c>
      <c r="P108" s="25">
        <v>-0.20833333333333334</v>
      </c>
      <c r="Q108" s="23">
        <v>11</v>
      </c>
      <c r="R108" s="14">
        <v>5</v>
      </c>
      <c r="S108" s="14">
        <v>4</v>
      </c>
      <c r="T108" s="14">
        <v>6</v>
      </c>
      <c r="U108" s="17">
        <v>5</v>
      </c>
      <c r="V108" s="17">
        <v>7</v>
      </c>
      <c r="W108" s="17">
        <v>6</v>
      </c>
      <c r="X108" s="17">
        <v>6</v>
      </c>
      <c r="Y108" s="14">
        <v>2</v>
      </c>
      <c r="Z108" s="15">
        <v>-0.45454545454545453</v>
      </c>
      <c r="AA108" s="25"/>
      <c r="AB108" s="18">
        <v>26</v>
      </c>
      <c r="AC108" s="14">
        <v>15</v>
      </c>
      <c r="AD108" s="14">
        <v>9</v>
      </c>
      <c r="AE108" s="14">
        <v>16</v>
      </c>
      <c r="AF108" s="14">
        <v>24</v>
      </c>
      <c r="AG108" s="14">
        <v>16</v>
      </c>
      <c r="AH108" s="14">
        <v>12</v>
      </c>
      <c r="AI108" s="14">
        <v>11</v>
      </c>
      <c r="AJ108" s="14">
        <v>2</v>
      </c>
      <c r="AK108" s="15">
        <v>-0.38461538461538464</v>
      </c>
      <c r="AL108" s="26"/>
      <c r="AM108" s="18">
        <v>114</v>
      </c>
      <c r="AN108" s="14">
        <v>127</v>
      </c>
      <c r="AO108" s="14">
        <v>122</v>
      </c>
      <c r="AP108" s="14">
        <v>130</v>
      </c>
      <c r="AQ108" s="14">
        <v>173</v>
      </c>
      <c r="AR108" s="14">
        <v>236</v>
      </c>
      <c r="AS108" s="14">
        <v>239</v>
      </c>
      <c r="AT108" s="35">
        <v>112</v>
      </c>
      <c r="AU108" s="18">
        <v>5</v>
      </c>
      <c r="AV108" s="14">
        <v>9</v>
      </c>
      <c r="AW108" s="14">
        <v>11</v>
      </c>
      <c r="AX108" s="14">
        <v>15</v>
      </c>
      <c r="AY108" s="14">
        <v>16</v>
      </c>
      <c r="AZ108" s="14">
        <v>15</v>
      </c>
      <c r="BA108" s="14">
        <v>10</v>
      </c>
      <c r="BB108" s="34">
        <v>2</v>
      </c>
    </row>
    <row r="109" spans="2:54" ht="15" customHeight="1">
      <c r="B109" s="19" t="s">
        <v>151</v>
      </c>
      <c r="C109" s="20" t="s">
        <v>63</v>
      </c>
      <c r="D109" s="20"/>
      <c r="E109" s="22">
        <v>93</v>
      </c>
      <c r="F109" s="18">
        <v>11899</v>
      </c>
      <c r="G109" s="14">
        <v>11744</v>
      </c>
      <c r="H109" s="14">
        <v>11158</v>
      </c>
      <c r="I109" s="14">
        <v>10788</v>
      </c>
      <c r="J109" s="14">
        <v>11020</v>
      </c>
      <c r="K109" s="14">
        <v>11527</v>
      </c>
      <c r="L109" s="14">
        <v>12240</v>
      </c>
      <c r="M109" s="14">
        <v>12389</v>
      </c>
      <c r="N109" s="14">
        <v>1231</v>
      </c>
      <c r="O109" s="15">
        <v>0.11032443090159527</v>
      </c>
      <c r="P109" s="25">
        <v>-0.09336919068829314</v>
      </c>
      <c r="Q109" s="23">
        <v>6187</v>
      </c>
      <c r="R109" s="14">
        <v>5054</v>
      </c>
      <c r="S109" s="14">
        <v>4336</v>
      </c>
      <c r="T109" s="14">
        <v>4076</v>
      </c>
      <c r="U109" s="17">
        <v>3641</v>
      </c>
      <c r="V109" s="17">
        <v>3177</v>
      </c>
      <c r="W109" s="17">
        <v>3172</v>
      </c>
      <c r="X109" s="17">
        <v>3001</v>
      </c>
      <c r="Y109" s="14">
        <v>-1335</v>
      </c>
      <c r="Z109" s="15">
        <v>-0.3411992888314207</v>
      </c>
      <c r="AA109" s="25"/>
      <c r="AB109" s="18">
        <v>17219</v>
      </c>
      <c r="AC109" s="14">
        <v>13618</v>
      </c>
      <c r="AD109" s="14">
        <v>11362</v>
      </c>
      <c r="AE109" s="14">
        <v>10420</v>
      </c>
      <c r="AF109" s="14">
        <v>12</v>
      </c>
      <c r="AG109" s="14">
        <v>7389</v>
      </c>
      <c r="AH109" s="14">
        <v>7106</v>
      </c>
      <c r="AI109" s="14">
        <v>6646</v>
      </c>
      <c r="AJ109" s="14">
        <v>-4716</v>
      </c>
      <c r="AK109" s="15">
        <v>-0.3948545211684767</v>
      </c>
      <c r="AL109" s="26"/>
      <c r="AM109" s="18">
        <v>30961</v>
      </c>
      <c r="AN109" s="14">
        <v>31530</v>
      </c>
      <c r="AO109" s="14">
        <v>32020</v>
      </c>
      <c r="AP109" s="14">
        <v>32351</v>
      </c>
      <c r="AQ109" s="14">
        <v>33627</v>
      </c>
      <c r="AR109" s="14">
        <v>34041</v>
      </c>
      <c r="AS109" s="14">
        <v>34649</v>
      </c>
      <c r="AT109" s="35">
        <v>3119</v>
      </c>
      <c r="AU109" s="18">
        <v>2798</v>
      </c>
      <c r="AV109" s="14">
        <v>3061</v>
      </c>
      <c r="AW109" s="14">
        <v>3246</v>
      </c>
      <c r="AX109" s="14">
        <v>3707</v>
      </c>
      <c r="AY109" s="14">
        <v>3662</v>
      </c>
      <c r="AZ109" s="14">
        <v>3995</v>
      </c>
      <c r="BA109" s="14">
        <v>1197</v>
      </c>
      <c r="BB109" s="34">
        <v>0.4278055754110079</v>
      </c>
    </row>
    <row r="110" spans="2:54" ht="15" customHeight="1">
      <c r="B110" s="19" t="s">
        <v>152</v>
      </c>
      <c r="C110" s="20"/>
      <c r="D110" s="20"/>
      <c r="E110" s="22">
        <v>95</v>
      </c>
      <c r="F110" s="18">
        <v>1503</v>
      </c>
      <c r="G110" s="14">
        <v>1521</v>
      </c>
      <c r="H110" s="14">
        <v>1460</v>
      </c>
      <c r="I110" s="14">
        <v>1350</v>
      </c>
      <c r="J110" s="14">
        <v>1400</v>
      </c>
      <c r="K110" s="14">
        <v>1458</v>
      </c>
      <c r="L110" s="14">
        <v>1506</v>
      </c>
      <c r="M110" s="14">
        <v>1629</v>
      </c>
      <c r="N110" s="14">
        <v>169</v>
      </c>
      <c r="O110" s="15">
        <v>0.11575342465753424</v>
      </c>
      <c r="P110" s="25">
        <v>-0.10179640718562874</v>
      </c>
      <c r="Q110" s="23">
        <v>767</v>
      </c>
      <c r="R110" s="14">
        <v>611</v>
      </c>
      <c r="S110" s="14">
        <v>495</v>
      </c>
      <c r="T110" s="14">
        <v>425</v>
      </c>
      <c r="U110" s="17">
        <v>427</v>
      </c>
      <c r="V110" s="17">
        <v>365</v>
      </c>
      <c r="W110" s="17">
        <v>364</v>
      </c>
      <c r="X110" s="17">
        <v>377</v>
      </c>
      <c r="Y110" s="14">
        <v>-118</v>
      </c>
      <c r="Z110" s="15">
        <v>-0.44589308996088656</v>
      </c>
      <c r="AA110" s="25"/>
      <c r="AB110" s="18">
        <v>2134</v>
      </c>
      <c r="AC110" s="14">
        <v>1623</v>
      </c>
      <c r="AD110" s="14">
        <v>1242</v>
      </c>
      <c r="AE110" s="14">
        <v>1059</v>
      </c>
      <c r="AF110" s="14">
        <v>8943</v>
      </c>
      <c r="AG110" s="14">
        <v>869</v>
      </c>
      <c r="AH110" s="14">
        <v>852</v>
      </c>
      <c r="AI110" s="14">
        <v>898</v>
      </c>
      <c r="AJ110" s="14">
        <v>-344</v>
      </c>
      <c r="AK110" s="15">
        <v>-0.5037488284910965</v>
      </c>
      <c r="AL110" s="26"/>
      <c r="AM110" s="18">
        <v>5012</v>
      </c>
      <c r="AN110" s="14">
        <v>5226</v>
      </c>
      <c r="AO110" s="14">
        <v>5300</v>
      </c>
      <c r="AP110" s="14">
        <v>5332</v>
      </c>
      <c r="AQ110" s="14">
        <v>5770</v>
      </c>
      <c r="AR110" s="14">
        <v>6005</v>
      </c>
      <c r="AS110" s="14">
        <v>6179</v>
      </c>
      <c r="AT110" s="35">
        <v>953</v>
      </c>
      <c r="AU110" s="18">
        <v>248</v>
      </c>
      <c r="AV110" s="14">
        <v>279</v>
      </c>
      <c r="AW110" s="14">
        <v>312</v>
      </c>
      <c r="AX110" s="14">
        <v>380</v>
      </c>
      <c r="AY110" s="14">
        <v>398</v>
      </c>
      <c r="AZ110" s="14">
        <v>431</v>
      </c>
      <c r="BA110" s="14">
        <v>183</v>
      </c>
      <c r="BB110" s="34">
        <v>0.7379032258064516</v>
      </c>
    </row>
    <row r="111" spans="2:54" ht="15" customHeight="1">
      <c r="B111" s="19" t="s">
        <v>153</v>
      </c>
      <c r="C111" s="20"/>
      <c r="D111" s="20"/>
      <c r="E111" s="22">
        <v>96</v>
      </c>
      <c r="F111" s="18">
        <v>245</v>
      </c>
      <c r="G111" s="14">
        <v>223</v>
      </c>
      <c r="H111" s="14">
        <v>200</v>
      </c>
      <c r="I111" s="14">
        <v>176</v>
      </c>
      <c r="J111" s="14">
        <v>183</v>
      </c>
      <c r="K111" s="14">
        <v>217</v>
      </c>
      <c r="L111" s="14">
        <v>239</v>
      </c>
      <c r="M111" s="14">
        <v>254</v>
      </c>
      <c r="N111" s="14">
        <v>54</v>
      </c>
      <c r="O111" s="15">
        <v>0.27</v>
      </c>
      <c r="P111" s="25">
        <v>-0.2816326530612245</v>
      </c>
      <c r="Q111" s="23">
        <v>134</v>
      </c>
      <c r="R111" s="14">
        <v>90</v>
      </c>
      <c r="S111" s="14">
        <v>54</v>
      </c>
      <c r="T111" s="14">
        <v>47</v>
      </c>
      <c r="U111" s="17">
        <v>43</v>
      </c>
      <c r="V111" s="17">
        <v>38</v>
      </c>
      <c r="W111" s="17">
        <v>40</v>
      </c>
      <c r="X111" s="17">
        <v>43</v>
      </c>
      <c r="Y111" s="14">
        <v>-11</v>
      </c>
      <c r="Z111" s="15">
        <v>-0.6492537313432836</v>
      </c>
      <c r="AA111" s="25"/>
      <c r="AB111" s="18">
        <v>335</v>
      </c>
      <c r="AC111" s="14">
        <v>197</v>
      </c>
      <c r="AD111" s="14">
        <v>105</v>
      </c>
      <c r="AE111" s="14">
        <v>93</v>
      </c>
      <c r="AF111" s="14">
        <v>1071</v>
      </c>
      <c r="AG111" s="14">
        <v>74</v>
      </c>
      <c r="AH111" s="14">
        <v>82</v>
      </c>
      <c r="AI111" s="14">
        <v>89</v>
      </c>
      <c r="AJ111" s="14">
        <v>-16</v>
      </c>
      <c r="AK111" s="15">
        <v>-0.7223880597014926</v>
      </c>
      <c r="AL111" s="26"/>
      <c r="AM111" s="18">
        <v>1276</v>
      </c>
      <c r="AN111" s="14">
        <v>1309</v>
      </c>
      <c r="AO111" s="14">
        <v>1350</v>
      </c>
      <c r="AP111" s="14">
        <v>1293</v>
      </c>
      <c r="AQ111" s="14">
        <v>1587</v>
      </c>
      <c r="AR111" s="14">
        <v>1748</v>
      </c>
      <c r="AS111" s="14">
        <v>1788</v>
      </c>
      <c r="AT111" s="35">
        <v>479</v>
      </c>
      <c r="AU111" s="18">
        <v>44</v>
      </c>
      <c r="AV111" s="14">
        <v>53</v>
      </c>
      <c r="AW111" s="14">
        <v>56</v>
      </c>
      <c r="AX111" s="14">
        <v>69</v>
      </c>
      <c r="AY111" s="14">
        <v>84</v>
      </c>
      <c r="AZ111" s="14">
        <v>89</v>
      </c>
      <c r="BA111" s="14">
        <v>45</v>
      </c>
      <c r="BB111" s="34">
        <v>1.0227272727272727</v>
      </c>
    </row>
    <row r="112" spans="2:54" ht="15" customHeight="1">
      <c r="B112" s="19" t="s">
        <v>154</v>
      </c>
      <c r="C112" s="20"/>
      <c r="D112" s="20"/>
      <c r="E112" s="21">
        <v>94</v>
      </c>
      <c r="F112" s="18">
        <v>210</v>
      </c>
      <c r="G112" s="14">
        <v>192</v>
      </c>
      <c r="H112" s="14">
        <v>191</v>
      </c>
      <c r="I112" s="14">
        <v>195</v>
      </c>
      <c r="J112" s="14">
        <v>219</v>
      </c>
      <c r="K112" s="14">
        <v>244</v>
      </c>
      <c r="L112" s="14">
        <v>258</v>
      </c>
      <c r="M112" s="14">
        <v>292</v>
      </c>
      <c r="N112" s="14">
        <v>101</v>
      </c>
      <c r="O112" s="15">
        <v>0.5287958115183246</v>
      </c>
      <c r="P112" s="25">
        <v>-0.07142857142857142</v>
      </c>
      <c r="Q112" s="23">
        <v>100</v>
      </c>
      <c r="R112" s="14">
        <v>69</v>
      </c>
      <c r="S112" s="14">
        <v>52</v>
      </c>
      <c r="T112" s="14">
        <v>46</v>
      </c>
      <c r="U112" s="17">
        <v>46</v>
      </c>
      <c r="V112" s="17">
        <v>49</v>
      </c>
      <c r="W112" s="17">
        <v>44</v>
      </c>
      <c r="X112" s="17">
        <v>53</v>
      </c>
      <c r="Y112" s="14">
        <v>1</v>
      </c>
      <c r="Z112" s="15">
        <v>-0.54</v>
      </c>
      <c r="AA112" s="25"/>
      <c r="AB112" s="18">
        <v>246</v>
      </c>
      <c r="AC112" s="14">
        <v>158</v>
      </c>
      <c r="AD112" s="14">
        <v>113</v>
      </c>
      <c r="AE112" s="14">
        <v>95</v>
      </c>
      <c r="AF112" s="14">
        <v>87</v>
      </c>
      <c r="AG112" s="14">
        <v>102</v>
      </c>
      <c r="AH112" s="14">
        <v>95</v>
      </c>
      <c r="AI112" s="14">
        <v>112</v>
      </c>
      <c r="AJ112" s="14">
        <v>-1</v>
      </c>
      <c r="AK112" s="15">
        <v>-0.6138211382113821</v>
      </c>
      <c r="AL112" s="26"/>
      <c r="AM112" s="18">
        <v>1089</v>
      </c>
      <c r="AN112" s="14">
        <v>1124</v>
      </c>
      <c r="AO112" s="14">
        <v>1243</v>
      </c>
      <c r="AP112" s="14">
        <v>1267</v>
      </c>
      <c r="AQ112" s="14">
        <v>1531</v>
      </c>
      <c r="AR112" s="14">
        <v>1761</v>
      </c>
      <c r="AS112" s="14">
        <v>1848</v>
      </c>
      <c r="AT112" s="35">
        <v>724</v>
      </c>
      <c r="AU112" s="18">
        <v>57</v>
      </c>
      <c r="AV112" s="14">
        <v>71</v>
      </c>
      <c r="AW112" s="14">
        <v>94</v>
      </c>
      <c r="AX112" s="14">
        <v>111</v>
      </c>
      <c r="AY112" s="14">
        <v>104</v>
      </c>
      <c r="AZ112" s="14">
        <v>100</v>
      </c>
      <c r="BA112" s="14">
        <v>43</v>
      </c>
      <c r="BB112" s="34">
        <v>0.7543859649122807</v>
      </c>
    </row>
    <row r="113" spans="2:54" ht="15" customHeight="1">
      <c r="B113" s="19" t="s">
        <v>155</v>
      </c>
      <c r="C113" s="20"/>
      <c r="D113" s="20"/>
      <c r="E113" s="21">
        <v>97</v>
      </c>
      <c r="F113" s="18">
        <v>120</v>
      </c>
      <c r="G113" s="14">
        <v>130</v>
      </c>
      <c r="H113" s="14">
        <v>143</v>
      </c>
      <c r="I113" s="14">
        <v>144</v>
      </c>
      <c r="J113" s="14">
        <v>96</v>
      </c>
      <c r="K113" s="14">
        <v>58</v>
      </c>
      <c r="L113" s="14">
        <v>75</v>
      </c>
      <c r="M113" s="14">
        <v>82</v>
      </c>
      <c r="N113" s="14">
        <v>-61</v>
      </c>
      <c r="O113" s="15">
        <v>-0.42657342657342656</v>
      </c>
      <c r="P113" s="25">
        <v>0.2</v>
      </c>
      <c r="Q113" s="23">
        <v>35</v>
      </c>
      <c r="R113" s="14">
        <v>17</v>
      </c>
      <c r="S113" s="14">
        <v>12</v>
      </c>
      <c r="T113" s="14">
        <v>13</v>
      </c>
      <c r="U113" s="17">
        <v>15</v>
      </c>
      <c r="V113" s="17">
        <v>11</v>
      </c>
      <c r="W113" s="17">
        <v>14</v>
      </c>
      <c r="X113" s="17">
        <v>17</v>
      </c>
      <c r="Y113" s="14">
        <v>5</v>
      </c>
      <c r="Z113" s="15">
        <v>-0.6285714285714286</v>
      </c>
      <c r="AA113" s="25"/>
      <c r="AB113" s="18">
        <v>90</v>
      </c>
      <c r="AC113" s="14">
        <v>43</v>
      </c>
      <c r="AD113" s="14">
        <v>29</v>
      </c>
      <c r="AE113" s="14">
        <v>24</v>
      </c>
      <c r="AF113" s="14">
        <v>97</v>
      </c>
      <c r="AG113" s="14">
        <v>19</v>
      </c>
      <c r="AH113" s="14">
        <v>24</v>
      </c>
      <c r="AI113" s="14">
        <v>31</v>
      </c>
      <c r="AJ113" s="14">
        <v>2</v>
      </c>
      <c r="AK113" s="15">
        <v>-0.7333333333333333</v>
      </c>
      <c r="AL113" s="26"/>
      <c r="AM113" s="18">
        <v>506</v>
      </c>
      <c r="AN113" s="14">
        <v>504</v>
      </c>
      <c r="AO113" s="14">
        <v>546</v>
      </c>
      <c r="AP113" s="14">
        <v>591</v>
      </c>
      <c r="AQ113" s="14">
        <v>697</v>
      </c>
      <c r="AR113" s="14">
        <v>759</v>
      </c>
      <c r="AS113" s="14">
        <v>803</v>
      </c>
      <c r="AT113" s="35">
        <v>299</v>
      </c>
      <c r="AU113" s="18">
        <v>60</v>
      </c>
      <c r="AV113" s="14">
        <v>65</v>
      </c>
      <c r="AW113" s="14">
        <v>49</v>
      </c>
      <c r="AX113" s="14">
        <v>46</v>
      </c>
      <c r="AY113" s="14">
        <v>62</v>
      </c>
      <c r="AZ113" s="14">
        <v>62</v>
      </c>
      <c r="BA113" s="14">
        <v>2</v>
      </c>
      <c r="BB113" s="34">
        <v>0.03333333333333333</v>
      </c>
    </row>
    <row r="114" spans="2:54" ht="15" customHeight="1">
      <c r="B114" s="19" t="s">
        <v>156</v>
      </c>
      <c r="C114" s="20">
        <v>1</v>
      </c>
      <c r="D114" s="20" t="s">
        <v>52</v>
      </c>
      <c r="E114" s="22">
        <v>98</v>
      </c>
      <c r="F114" s="18">
        <v>8</v>
      </c>
      <c r="G114" s="14">
        <v>8</v>
      </c>
      <c r="H114" s="14">
        <v>9</v>
      </c>
      <c r="I114" s="14">
        <v>8</v>
      </c>
      <c r="J114" s="14">
        <v>8</v>
      </c>
      <c r="K114" s="14">
        <v>7</v>
      </c>
      <c r="L114" s="14">
        <v>8</v>
      </c>
      <c r="M114" s="14">
        <v>10</v>
      </c>
      <c r="N114" s="14">
        <v>1</v>
      </c>
      <c r="O114" s="15">
        <v>0.1111111111111111</v>
      </c>
      <c r="P114" s="25">
        <v>0</v>
      </c>
      <c r="Q114" s="23">
        <v>9</v>
      </c>
      <c r="R114" s="14">
        <v>6</v>
      </c>
      <c r="S114" s="14">
        <v>5</v>
      </c>
      <c r="T114" s="14">
        <v>2</v>
      </c>
      <c r="U114" s="17">
        <v>3</v>
      </c>
      <c r="V114" s="17">
        <v>3</v>
      </c>
      <c r="W114" s="17">
        <v>2</v>
      </c>
      <c r="X114" s="17">
        <v>4</v>
      </c>
      <c r="Y114" s="14">
        <v>-1</v>
      </c>
      <c r="Z114" s="15">
        <v>-0.7777777777777778</v>
      </c>
      <c r="AA114" s="25"/>
      <c r="AB114" s="18">
        <v>22</v>
      </c>
      <c r="AC114" s="14">
        <v>16</v>
      </c>
      <c r="AD114" s="14">
        <v>11</v>
      </c>
      <c r="AE114" s="14">
        <v>4</v>
      </c>
      <c r="AF114" s="14">
        <v>26</v>
      </c>
      <c r="AG114" s="14">
        <v>8</v>
      </c>
      <c r="AH114" s="14">
        <v>6</v>
      </c>
      <c r="AI114" s="14">
        <v>10</v>
      </c>
      <c r="AJ114" s="14">
        <v>-1</v>
      </c>
      <c r="AK114" s="15">
        <v>-0.8181818181818182</v>
      </c>
      <c r="AL114" s="26"/>
      <c r="AM114" s="18">
        <v>184</v>
      </c>
      <c r="AN114" s="14">
        <v>97</v>
      </c>
      <c r="AO114" s="14">
        <v>94</v>
      </c>
      <c r="AP114" s="14">
        <v>80</v>
      </c>
      <c r="AQ114" s="14">
        <v>105</v>
      </c>
      <c r="AR114" s="14">
        <v>118</v>
      </c>
      <c r="AS114" s="14">
        <v>125</v>
      </c>
      <c r="AT114" s="35">
        <v>28</v>
      </c>
      <c r="AU114" s="18">
        <v>2</v>
      </c>
      <c r="AV114" s="14">
        <v>2</v>
      </c>
      <c r="AW114" s="14">
        <v>3</v>
      </c>
      <c r="AX114" s="14">
        <v>6</v>
      </c>
      <c r="AY114" s="14">
        <v>5</v>
      </c>
      <c r="AZ114" s="14">
        <v>4</v>
      </c>
      <c r="BA114" s="14">
        <v>2</v>
      </c>
      <c r="BB114" s="34">
        <v>1</v>
      </c>
    </row>
    <row r="115" spans="2:54" ht="15" customHeight="1">
      <c r="B115" s="19" t="s">
        <v>157</v>
      </c>
      <c r="C115" s="20"/>
      <c r="D115" s="20"/>
      <c r="E115" s="22">
        <v>99</v>
      </c>
      <c r="F115" s="18">
        <v>71</v>
      </c>
      <c r="G115" s="14">
        <v>67</v>
      </c>
      <c r="H115" s="14">
        <v>66</v>
      </c>
      <c r="I115" s="14">
        <v>69</v>
      </c>
      <c r="J115" s="14">
        <v>71</v>
      </c>
      <c r="K115" s="14">
        <v>74</v>
      </c>
      <c r="L115" s="14">
        <v>80</v>
      </c>
      <c r="M115" s="14">
        <v>82</v>
      </c>
      <c r="N115" s="14">
        <v>16</v>
      </c>
      <c r="O115" s="15">
        <v>0.24242424242424243</v>
      </c>
      <c r="P115" s="25">
        <v>-0.028169014084507043</v>
      </c>
      <c r="Q115" s="23">
        <v>38</v>
      </c>
      <c r="R115" s="14">
        <v>31</v>
      </c>
      <c r="S115" s="14">
        <v>28</v>
      </c>
      <c r="T115" s="14">
        <v>23</v>
      </c>
      <c r="U115" s="17">
        <v>24</v>
      </c>
      <c r="V115" s="17">
        <v>23</v>
      </c>
      <c r="W115" s="17">
        <v>26</v>
      </c>
      <c r="X115" s="17">
        <v>19</v>
      </c>
      <c r="Y115" s="14">
        <v>-9</v>
      </c>
      <c r="Z115" s="15">
        <v>-0.39473684210526316</v>
      </c>
      <c r="AA115" s="25"/>
      <c r="AB115" s="18">
        <v>85</v>
      </c>
      <c r="AC115" s="14">
        <v>66</v>
      </c>
      <c r="AD115" s="14">
        <v>55</v>
      </c>
      <c r="AE115" s="14">
        <v>49</v>
      </c>
      <c r="AF115" s="14">
        <v>8</v>
      </c>
      <c r="AG115" s="14">
        <v>43</v>
      </c>
      <c r="AH115" s="14">
        <v>46</v>
      </c>
      <c r="AI115" s="14">
        <v>32</v>
      </c>
      <c r="AJ115" s="14">
        <v>-23</v>
      </c>
      <c r="AK115" s="15">
        <v>-0.4235294117647059</v>
      </c>
      <c r="AL115" s="26"/>
      <c r="AM115" s="18">
        <v>334</v>
      </c>
      <c r="AN115" s="14">
        <v>351</v>
      </c>
      <c r="AO115" s="14">
        <v>387</v>
      </c>
      <c r="AP115" s="14">
        <v>368</v>
      </c>
      <c r="AQ115" s="14">
        <v>464</v>
      </c>
      <c r="AR115" s="14">
        <v>526</v>
      </c>
      <c r="AS115" s="14">
        <v>571</v>
      </c>
      <c r="AT115" s="35">
        <v>220</v>
      </c>
      <c r="AU115" s="18">
        <v>20</v>
      </c>
      <c r="AV115" s="14">
        <v>24</v>
      </c>
      <c r="AW115" s="14">
        <v>27</v>
      </c>
      <c r="AX115" s="14">
        <v>35</v>
      </c>
      <c r="AY115" s="14">
        <v>38</v>
      </c>
      <c r="AZ115" s="14">
        <v>40</v>
      </c>
      <c r="BA115" s="14">
        <v>20</v>
      </c>
      <c r="BB115" s="34">
        <v>1</v>
      </c>
    </row>
    <row r="116" spans="2:54" ht="15" customHeight="1">
      <c r="B116" s="19" t="s">
        <v>158</v>
      </c>
      <c r="C116" s="20">
        <v>1</v>
      </c>
      <c r="D116" s="20" t="s">
        <v>52</v>
      </c>
      <c r="E116" s="21">
        <v>100</v>
      </c>
      <c r="F116" s="18">
        <v>33</v>
      </c>
      <c r="G116" s="14">
        <v>29</v>
      </c>
      <c r="H116" s="14">
        <v>33</v>
      </c>
      <c r="I116" s="14">
        <v>35</v>
      </c>
      <c r="J116" s="14">
        <v>26</v>
      </c>
      <c r="K116" s="14">
        <v>33.067</v>
      </c>
      <c r="L116" s="14">
        <v>31</v>
      </c>
      <c r="M116" s="14">
        <v>36</v>
      </c>
      <c r="N116" s="14">
        <v>3</v>
      </c>
      <c r="O116" s="15">
        <v>0.09090909090909091</v>
      </c>
      <c r="P116" s="25">
        <v>0.06060606060606061</v>
      </c>
      <c r="Q116" s="23">
        <v>17</v>
      </c>
      <c r="R116" s="14">
        <v>12</v>
      </c>
      <c r="S116" s="14">
        <v>15</v>
      </c>
      <c r="T116" s="14">
        <v>11</v>
      </c>
      <c r="U116" s="17">
        <v>9</v>
      </c>
      <c r="V116" s="17">
        <v>7.69</v>
      </c>
      <c r="W116" s="17">
        <v>8</v>
      </c>
      <c r="X116" s="17">
        <v>6</v>
      </c>
      <c r="Y116" s="14">
        <v>-9</v>
      </c>
      <c r="Z116" s="15">
        <v>-0.35294117647058826</v>
      </c>
      <c r="AA116" s="25"/>
      <c r="AB116" s="18">
        <v>40</v>
      </c>
      <c r="AC116" s="14">
        <v>27</v>
      </c>
      <c r="AD116" s="14">
        <v>29</v>
      </c>
      <c r="AE116" s="14">
        <v>22</v>
      </c>
      <c r="AF116" s="14">
        <v>46</v>
      </c>
      <c r="AG116" s="14">
        <v>14.611</v>
      </c>
      <c r="AH116" s="14">
        <v>14</v>
      </c>
      <c r="AI116" s="14">
        <v>10</v>
      </c>
      <c r="AJ116" s="14">
        <v>-19</v>
      </c>
      <c r="AK116" s="15">
        <v>-0.45</v>
      </c>
      <c r="AL116" s="26"/>
      <c r="AM116" s="18">
        <v>237</v>
      </c>
      <c r="AN116" s="14">
        <v>234</v>
      </c>
      <c r="AO116" s="14">
        <v>310</v>
      </c>
      <c r="AP116" s="14">
        <v>331</v>
      </c>
      <c r="AQ116" s="14">
        <v>265</v>
      </c>
      <c r="AR116" s="14">
        <v>376.12</v>
      </c>
      <c r="AS116" s="14">
        <v>322</v>
      </c>
      <c r="AT116" s="35">
        <v>88</v>
      </c>
      <c r="AU116" s="18">
        <v>7</v>
      </c>
      <c r="AV116" s="14">
        <v>10</v>
      </c>
      <c r="AW116" s="14">
        <v>8</v>
      </c>
      <c r="AX116" s="14">
        <v>9.228</v>
      </c>
      <c r="AY116" s="14">
        <v>8</v>
      </c>
      <c r="AZ116" s="14">
        <v>19</v>
      </c>
      <c r="BA116" s="14">
        <v>12</v>
      </c>
      <c r="BB116" s="34">
        <v>1.7142857142857142</v>
      </c>
    </row>
    <row r="117" spans="2:54" ht="15" customHeight="1">
      <c r="B117" s="19" t="s">
        <v>159</v>
      </c>
      <c r="C117" s="20"/>
      <c r="D117" s="20"/>
      <c r="E117" s="22">
        <v>101</v>
      </c>
      <c r="F117" s="18">
        <v>124</v>
      </c>
      <c r="G117" s="14">
        <v>135</v>
      </c>
      <c r="H117" s="14">
        <v>138</v>
      </c>
      <c r="I117" s="14">
        <v>130</v>
      </c>
      <c r="J117" s="14">
        <v>133</v>
      </c>
      <c r="K117" s="14">
        <v>135</v>
      </c>
      <c r="L117" s="14">
        <v>142</v>
      </c>
      <c r="M117" s="14">
        <v>167</v>
      </c>
      <c r="N117" s="14">
        <v>29</v>
      </c>
      <c r="O117" s="15">
        <v>0.21014492753623187</v>
      </c>
      <c r="P117" s="25">
        <v>0.04838709677419355</v>
      </c>
      <c r="Q117" s="23">
        <v>68</v>
      </c>
      <c r="R117" s="14">
        <v>56</v>
      </c>
      <c r="S117" s="14">
        <v>49</v>
      </c>
      <c r="T117" s="14">
        <v>46</v>
      </c>
      <c r="U117" s="17">
        <v>44</v>
      </c>
      <c r="V117" s="17">
        <v>39</v>
      </c>
      <c r="W117" s="17">
        <v>40</v>
      </c>
      <c r="X117" s="17">
        <v>41</v>
      </c>
      <c r="Y117" s="14">
        <v>-8</v>
      </c>
      <c r="Z117" s="15">
        <v>-0.3235294117647059</v>
      </c>
      <c r="AA117" s="25"/>
      <c r="AB117" s="18">
        <v>144</v>
      </c>
      <c r="AC117" s="14">
        <v>117</v>
      </c>
      <c r="AD117" s="14">
        <v>97</v>
      </c>
      <c r="AE117" s="14">
        <v>90</v>
      </c>
      <c r="AF117" s="14">
        <v>20</v>
      </c>
      <c r="AG117" s="14">
        <v>68</v>
      </c>
      <c r="AH117" s="14">
        <v>71</v>
      </c>
      <c r="AI117" s="14">
        <v>74</v>
      </c>
      <c r="AJ117" s="14">
        <v>-23</v>
      </c>
      <c r="AK117" s="15">
        <v>-0.375</v>
      </c>
      <c r="AL117" s="26"/>
      <c r="AM117" s="18">
        <v>701</v>
      </c>
      <c r="AN117" s="14">
        <v>735</v>
      </c>
      <c r="AO117" s="14">
        <v>787</v>
      </c>
      <c r="AP117" s="14">
        <v>826</v>
      </c>
      <c r="AQ117" s="14">
        <v>948</v>
      </c>
      <c r="AR117" s="14">
        <v>1062</v>
      </c>
      <c r="AS117" s="14">
        <v>1089</v>
      </c>
      <c r="AT117" s="35">
        <v>354</v>
      </c>
      <c r="AU117" s="18">
        <v>39</v>
      </c>
      <c r="AV117" s="14">
        <v>38</v>
      </c>
      <c r="AW117" s="14">
        <v>43</v>
      </c>
      <c r="AX117" s="14">
        <v>55</v>
      </c>
      <c r="AY117" s="14">
        <v>60</v>
      </c>
      <c r="AZ117" s="14">
        <v>69</v>
      </c>
      <c r="BA117" s="14">
        <v>30</v>
      </c>
      <c r="BB117" s="34">
        <v>0.7692307692307693</v>
      </c>
    </row>
    <row r="118" spans="2:54" ht="15" customHeight="1">
      <c r="B118" s="19" t="s">
        <v>160</v>
      </c>
      <c r="C118" s="20">
        <v>1</v>
      </c>
      <c r="D118" s="20" t="s">
        <v>47</v>
      </c>
      <c r="E118" s="22">
        <v>102</v>
      </c>
      <c r="F118" s="18">
        <v>32</v>
      </c>
      <c r="G118" s="14">
        <v>26</v>
      </c>
      <c r="H118" s="14">
        <v>24</v>
      </c>
      <c r="I118" s="14">
        <v>24</v>
      </c>
      <c r="J118" s="14">
        <v>23</v>
      </c>
      <c r="K118" s="14">
        <v>21</v>
      </c>
      <c r="L118" s="14">
        <v>26</v>
      </c>
      <c r="M118" s="14">
        <v>30</v>
      </c>
      <c r="N118" s="14">
        <v>6</v>
      </c>
      <c r="O118" s="15">
        <v>0.25</v>
      </c>
      <c r="P118" s="25">
        <v>-0.25</v>
      </c>
      <c r="Q118" s="23">
        <v>13</v>
      </c>
      <c r="R118" s="14">
        <v>9</v>
      </c>
      <c r="S118" s="14">
        <v>9</v>
      </c>
      <c r="T118" s="14">
        <v>10</v>
      </c>
      <c r="U118" s="17">
        <v>11</v>
      </c>
      <c r="V118" s="17">
        <v>10</v>
      </c>
      <c r="W118" s="17">
        <v>5</v>
      </c>
      <c r="X118" s="17">
        <v>7</v>
      </c>
      <c r="Y118" s="14">
        <v>-2</v>
      </c>
      <c r="Z118" s="15">
        <v>-0.23076923076923078</v>
      </c>
      <c r="AA118" s="25"/>
      <c r="AB118" s="18">
        <v>34</v>
      </c>
      <c r="AC118" s="14">
        <v>23</v>
      </c>
      <c r="AD118" s="14">
        <v>22</v>
      </c>
      <c r="AE118" s="14">
        <v>22</v>
      </c>
      <c r="AF118" s="14">
        <v>82</v>
      </c>
      <c r="AG118" s="14">
        <v>29</v>
      </c>
      <c r="AH118" s="14">
        <v>12</v>
      </c>
      <c r="AI118" s="14">
        <v>16</v>
      </c>
      <c r="AJ118" s="14">
        <v>-6</v>
      </c>
      <c r="AK118" s="15">
        <v>-0.35294117647058826</v>
      </c>
      <c r="AL118" s="26"/>
      <c r="AM118" s="18">
        <v>142</v>
      </c>
      <c r="AN118" s="14">
        <v>140</v>
      </c>
      <c r="AO118" s="14">
        <v>144</v>
      </c>
      <c r="AP118" s="14">
        <v>173</v>
      </c>
      <c r="AQ118" s="14">
        <v>258</v>
      </c>
      <c r="AR118" s="14">
        <v>265</v>
      </c>
      <c r="AS118" s="14">
        <v>303</v>
      </c>
      <c r="AT118" s="35">
        <v>163</v>
      </c>
      <c r="AU118" s="18">
        <v>6</v>
      </c>
      <c r="AV118" s="14">
        <v>6</v>
      </c>
      <c r="AW118" s="14">
        <v>8</v>
      </c>
      <c r="AX118" s="14">
        <v>10</v>
      </c>
      <c r="AY118" s="14">
        <v>16</v>
      </c>
      <c r="AZ118" s="14">
        <v>14</v>
      </c>
      <c r="BA118" s="14">
        <v>8</v>
      </c>
      <c r="BB118" s="34">
        <v>1.3333333333333333</v>
      </c>
    </row>
    <row r="119" spans="2:54" ht="15" customHeight="1">
      <c r="B119" s="19" t="s">
        <v>161</v>
      </c>
      <c r="C119" s="20" t="s">
        <v>63</v>
      </c>
      <c r="D119" s="20"/>
      <c r="E119" s="21">
        <v>103</v>
      </c>
      <c r="F119" s="18">
        <v>1959</v>
      </c>
      <c r="G119" s="14">
        <v>1786</v>
      </c>
      <c r="H119" s="14">
        <v>1645</v>
      </c>
      <c r="I119" s="14">
        <v>1532</v>
      </c>
      <c r="J119" s="14">
        <v>1524</v>
      </c>
      <c r="K119" s="14">
        <v>1478</v>
      </c>
      <c r="L119" s="14">
        <v>1526</v>
      </c>
      <c r="M119" s="14">
        <v>1509</v>
      </c>
      <c r="N119" s="14">
        <v>-136</v>
      </c>
      <c r="O119" s="15">
        <v>-0.08267477203647416</v>
      </c>
      <c r="P119" s="25">
        <v>-0.21796835119959163</v>
      </c>
      <c r="Q119" s="23">
        <v>1014</v>
      </c>
      <c r="R119" s="14">
        <v>728</v>
      </c>
      <c r="S119" s="14">
        <v>592</v>
      </c>
      <c r="T119" s="14">
        <v>524</v>
      </c>
      <c r="U119" s="17">
        <v>459</v>
      </c>
      <c r="V119" s="17">
        <v>409</v>
      </c>
      <c r="W119" s="17">
        <v>411</v>
      </c>
      <c r="X119" s="17">
        <v>365</v>
      </c>
      <c r="Y119" s="14">
        <v>-227</v>
      </c>
      <c r="Z119" s="15">
        <v>-0.4832347140039448</v>
      </c>
      <c r="AA119" s="25"/>
      <c r="AB119" s="18">
        <v>2530</v>
      </c>
      <c r="AC119" s="14">
        <v>1713</v>
      </c>
      <c r="AD119" s="14">
        <v>1305</v>
      </c>
      <c r="AE119" s="14">
        <v>1132</v>
      </c>
      <c r="AF119" s="14">
        <v>30</v>
      </c>
      <c r="AG119" s="14">
        <v>883</v>
      </c>
      <c r="AH119" s="14">
        <v>846</v>
      </c>
      <c r="AI119" s="14">
        <v>712</v>
      </c>
      <c r="AJ119" s="14">
        <v>-593</v>
      </c>
      <c r="AK119" s="15">
        <v>-0.5525691699604743</v>
      </c>
      <c r="AL119" s="26"/>
      <c r="AM119" s="18">
        <v>6341</v>
      </c>
      <c r="AN119" s="14">
        <v>6552</v>
      </c>
      <c r="AO119" s="14">
        <v>6702</v>
      </c>
      <c r="AP119" s="14">
        <v>6757</v>
      </c>
      <c r="AQ119" s="14">
        <v>7301</v>
      </c>
      <c r="AR119" s="14">
        <v>7830</v>
      </c>
      <c r="AS119" s="14">
        <v>7934</v>
      </c>
      <c r="AT119" s="35">
        <v>1382</v>
      </c>
      <c r="AU119" s="18">
        <v>377</v>
      </c>
      <c r="AV119" s="14">
        <v>401</v>
      </c>
      <c r="AW119" s="14">
        <v>442</v>
      </c>
      <c r="AX119" s="14">
        <v>460</v>
      </c>
      <c r="AY119" s="14">
        <v>499</v>
      </c>
      <c r="AZ119" s="14">
        <v>502</v>
      </c>
      <c r="BA119" s="14">
        <v>125</v>
      </c>
      <c r="BB119" s="34">
        <v>0.33156498673740054</v>
      </c>
    </row>
    <row r="120" spans="2:54" ht="15" customHeight="1">
      <c r="B120" s="19" t="s">
        <v>162</v>
      </c>
      <c r="C120" s="20"/>
      <c r="D120" s="20"/>
      <c r="E120" s="22">
        <v>104</v>
      </c>
      <c r="F120" s="18">
        <v>1484</v>
      </c>
      <c r="G120" s="14">
        <v>1509</v>
      </c>
      <c r="H120" s="14">
        <v>1463</v>
      </c>
      <c r="I120" s="14">
        <v>1379</v>
      </c>
      <c r="J120" s="14">
        <v>1399</v>
      </c>
      <c r="K120" s="14">
        <v>1500</v>
      </c>
      <c r="L120" s="14">
        <v>1707</v>
      </c>
      <c r="M120" s="14">
        <v>1907</v>
      </c>
      <c r="N120" s="14">
        <v>444</v>
      </c>
      <c r="O120" s="15">
        <v>0.303485987696514</v>
      </c>
      <c r="P120" s="25">
        <v>-0.07075471698113207</v>
      </c>
      <c r="Q120" s="23">
        <v>664</v>
      </c>
      <c r="R120" s="14">
        <v>523</v>
      </c>
      <c r="S120" s="14">
        <v>430</v>
      </c>
      <c r="T120" s="14">
        <v>388</v>
      </c>
      <c r="U120" s="17">
        <v>337</v>
      </c>
      <c r="V120" s="17">
        <v>323</v>
      </c>
      <c r="W120" s="17">
        <v>361</v>
      </c>
      <c r="X120" s="17">
        <v>369</v>
      </c>
      <c r="Y120" s="14">
        <v>-61</v>
      </c>
      <c r="Z120" s="15">
        <v>-0.41566265060240964</v>
      </c>
      <c r="AA120" s="25"/>
      <c r="AB120" s="18">
        <v>1790</v>
      </c>
      <c r="AC120" s="14">
        <v>1338</v>
      </c>
      <c r="AD120" s="14">
        <v>1042</v>
      </c>
      <c r="AE120" s="14">
        <v>935</v>
      </c>
      <c r="AF120" s="14">
        <v>980</v>
      </c>
      <c r="AG120" s="14">
        <v>759</v>
      </c>
      <c r="AH120" s="14">
        <v>833</v>
      </c>
      <c r="AI120" s="14">
        <v>844</v>
      </c>
      <c r="AJ120" s="14">
        <v>-198</v>
      </c>
      <c r="AK120" s="15">
        <v>-0.4776536312849162</v>
      </c>
      <c r="AL120" s="26"/>
      <c r="AM120" s="18">
        <v>5116</v>
      </c>
      <c r="AN120" s="14">
        <v>5205</v>
      </c>
      <c r="AO120" s="14">
        <v>5498</v>
      </c>
      <c r="AP120" s="14">
        <v>5555</v>
      </c>
      <c r="AQ120" s="14">
        <v>6061</v>
      </c>
      <c r="AR120" s="14">
        <v>6391</v>
      </c>
      <c r="AS120" s="14">
        <v>6870</v>
      </c>
      <c r="AT120" s="35">
        <v>1665</v>
      </c>
      <c r="AU120" s="18">
        <v>139</v>
      </c>
      <c r="AV120" s="14">
        <v>147</v>
      </c>
      <c r="AW120" s="14">
        <v>170</v>
      </c>
      <c r="AX120" s="14">
        <v>220</v>
      </c>
      <c r="AY120" s="14">
        <v>354</v>
      </c>
      <c r="AZ120" s="14">
        <v>484</v>
      </c>
      <c r="BA120" s="14">
        <v>345</v>
      </c>
      <c r="BB120" s="34">
        <v>2.4820143884892087</v>
      </c>
    </row>
    <row r="121" spans="2:54" ht="15" customHeight="1">
      <c r="B121" s="19" t="s">
        <v>163</v>
      </c>
      <c r="C121" s="20"/>
      <c r="D121" s="20"/>
      <c r="E121" s="22">
        <v>105</v>
      </c>
      <c r="F121" s="18">
        <v>28</v>
      </c>
      <c r="G121" s="14">
        <v>26</v>
      </c>
      <c r="H121" s="14">
        <v>24</v>
      </c>
      <c r="I121" s="14">
        <v>22</v>
      </c>
      <c r="J121" s="14">
        <v>22</v>
      </c>
      <c r="K121" s="14">
        <v>24</v>
      </c>
      <c r="L121" s="14">
        <v>23</v>
      </c>
      <c r="M121" s="14">
        <v>26</v>
      </c>
      <c r="N121" s="14">
        <v>2</v>
      </c>
      <c r="O121" s="15">
        <v>0.08333333333333333</v>
      </c>
      <c r="P121" s="25">
        <v>-0.21428571428571427</v>
      </c>
      <c r="Q121" s="23">
        <v>13</v>
      </c>
      <c r="R121" s="14">
        <v>8</v>
      </c>
      <c r="S121" s="14">
        <v>7</v>
      </c>
      <c r="T121" s="14">
        <v>5</v>
      </c>
      <c r="U121" s="17">
        <v>5</v>
      </c>
      <c r="V121" s="17">
        <v>2</v>
      </c>
      <c r="W121" s="17">
        <v>3</v>
      </c>
      <c r="X121" s="17">
        <v>4</v>
      </c>
      <c r="Y121" s="14">
        <v>-3</v>
      </c>
      <c r="Z121" s="15">
        <v>-0.6153846153846154</v>
      </c>
      <c r="AA121" s="25"/>
      <c r="AB121" s="18">
        <v>34</v>
      </c>
      <c r="AC121" s="14">
        <v>20</v>
      </c>
      <c r="AD121" s="14">
        <v>19</v>
      </c>
      <c r="AE121" s="14">
        <v>16</v>
      </c>
      <c r="AF121" s="14">
        <v>818</v>
      </c>
      <c r="AG121" s="14">
        <v>7</v>
      </c>
      <c r="AH121" s="14">
        <v>7</v>
      </c>
      <c r="AI121" s="14">
        <v>8</v>
      </c>
      <c r="AJ121" s="14">
        <v>-11</v>
      </c>
      <c r="AK121" s="15">
        <v>-0.5294117647058824</v>
      </c>
      <c r="AL121" s="26"/>
      <c r="AM121" s="18">
        <v>155</v>
      </c>
      <c r="AN121" s="14">
        <v>155</v>
      </c>
      <c r="AO121" s="14">
        <v>183</v>
      </c>
      <c r="AP121" s="14">
        <v>173</v>
      </c>
      <c r="AQ121" s="14">
        <v>196</v>
      </c>
      <c r="AR121" s="14">
        <v>207</v>
      </c>
      <c r="AS121" s="14">
        <v>242</v>
      </c>
      <c r="AT121" s="35">
        <v>87</v>
      </c>
      <c r="AU121" s="18">
        <v>7</v>
      </c>
      <c r="AV121" s="14">
        <v>9</v>
      </c>
      <c r="AW121" s="14">
        <v>8</v>
      </c>
      <c r="AX121" s="14">
        <v>11</v>
      </c>
      <c r="AY121" s="14">
        <v>12</v>
      </c>
      <c r="AZ121" s="14">
        <v>14</v>
      </c>
      <c r="BA121" s="14">
        <v>7</v>
      </c>
      <c r="BB121" s="34">
        <v>1</v>
      </c>
    </row>
    <row r="122" spans="2:54" ht="15" customHeight="1">
      <c r="B122" s="19" t="s">
        <v>204</v>
      </c>
      <c r="C122" s="20"/>
      <c r="D122" s="20"/>
      <c r="E122" s="21">
        <v>106</v>
      </c>
      <c r="F122" s="18">
        <v>51</v>
      </c>
      <c r="G122" s="14">
        <v>44</v>
      </c>
      <c r="H122" s="14">
        <v>37</v>
      </c>
      <c r="I122" s="14">
        <v>35</v>
      </c>
      <c r="J122" s="14">
        <v>41</v>
      </c>
      <c r="K122" s="14">
        <v>52</v>
      </c>
      <c r="L122" s="14">
        <v>61</v>
      </c>
      <c r="M122" s="14">
        <v>68</v>
      </c>
      <c r="N122" s="14">
        <v>31</v>
      </c>
      <c r="O122" s="15">
        <v>0.8378378378378378</v>
      </c>
      <c r="P122" s="25">
        <v>-0.3137254901960784</v>
      </c>
      <c r="Q122" s="23">
        <v>27</v>
      </c>
      <c r="R122" s="14">
        <v>21</v>
      </c>
      <c r="S122" s="14">
        <v>16</v>
      </c>
      <c r="T122" s="14">
        <v>12</v>
      </c>
      <c r="U122" s="17">
        <v>12</v>
      </c>
      <c r="V122" s="17">
        <v>11</v>
      </c>
      <c r="W122" s="17">
        <v>14</v>
      </c>
      <c r="X122" s="17">
        <v>15</v>
      </c>
      <c r="Y122" s="14">
        <v>-1</v>
      </c>
      <c r="Z122" s="15">
        <v>-0.5555555555555556</v>
      </c>
      <c r="AA122" s="25"/>
      <c r="AB122" s="18">
        <v>64</v>
      </c>
      <c r="AC122" s="14">
        <v>44</v>
      </c>
      <c r="AD122" s="14">
        <v>33</v>
      </c>
      <c r="AE122" s="14">
        <v>23</v>
      </c>
      <c r="AF122" s="14">
        <v>14</v>
      </c>
      <c r="AG122" s="14">
        <v>27</v>
      </c>
      <c r="AH122" s="14">
        <v>34</v>
      </c>
      <c r="AI122" s="14">
        <v>30</v>
      </c>
      <c r="AJ122" s="14">
        <v>-3</v>
      </c>
      <c r="AK122" s="15">
        <v>-0.640625</v>
      </c>
      <c r="AL122" s="26"/>
      <c r="AM122" s="18">
        <v>420</v>
      </c>
      <c r="AN122" s="14">
        <v>466</v>
      </c>
      <c r="AO122" s="14">
        <v>469</v>
      </c>
      <c r="AP122" s="14">
        <v>471</v>
      </c>
      <c r="AQ122" s="14">
        <v>560</v>
      </c>
      <c r="AR122" s="14">
        <v>630</v>
      </c>
      <c r="AS122" s="14">
        <v>658</v>
      </c>
      <c r="AT122" s="35">
        <v>192</v>
      </c>
      <c r="AU122" s="18">
        <v>8</v>
      </c>
      <c r="AV122" s="14">
        <v>19</v>
      </c>
      <c r="AW122" s="14">
        <v>22</v>
      </c>
      <c r="AX122" s="14">
        <v>28</v>
      </c>
      <c r="AY122" s="14">
        <v>23</v>
      </c>
      <c r="AZ122" s="14">
        <v>25</v>
      </c>
      <c r="BA122" s="14">
        <v>17</v>
      </c>
      <c r="BB122" s="34">
        <v>2.125</v>
      </c>
    </row>
    <row r="123" spans="2:54" ht="15" customHeight="1">
      <c r="B123" s="19" t="s">
        <v>205</v>
      </c>
      <c r="C123" s="20"/>
      <c r="D123" s="20"/>
      <c r="E123" s="22">
        <v>107</v>
      </c>
      <c r="F123" s="18">
        <v>32</v>
      </c>
      <c r="G123" s="14">
        <v>34</v>
      </c>
      <c r="H123" s="14">
        <v>39</v>
      </c>
      <c r="I123" s="14">
        <v>34</v>
      </c>
      <c r="J123" s="14">
        <v>37</v>
      </c>
      <c r="K123" s="14">
        <v>40</v>
      </c>
      <c r="L123" s="14">
        <v>42</v>
      </c>
      <c r="M123" s="14">
        <v>47</v>
      </c>
      <c r="N123" s="14">
        <v>8</v>
      </c>
      <c r="O123" s="15">
        <v>0.20512820512820512</v>
      </c>
      <c r="P123" s="25">
        <v>0.0625</v>
      </c>
      <c r="Q123" s="23">
        <v>18</v>
      </c>
      <c r="R123" s="14">
        <v>15</v>
      </c>
      <c r="S123" s="14">
        <v>10</v>
      </c>
      <c r="T123" s="14">
        <v>9</v>
      </c>
      <c r="U123" s="17">
        <v>8</v>
      </c>
      <c r="V123" s="17">
        <v>10</v>
      </c>
      <c r="W123" s="17">
        <v>8</v>
      </c>
      <c r="X123" s="17">
        <v>8</v>
      </c>
      <c r="Y123" s="14">
        <v>-2</v>
      </c>
      <c r="Z123" s="15">
        <v>-0.5</v>
      </c>
      <c r="AA123" s="25"/>
      <c r="AB123" s="18">
        <v>37</v>
      </c>
      <c r="AC123" s="14">
        <v>28</v>
      </c>
      <c r="AD123" s="14">
        <v>18</v>
      </c>
      <c r="AE123" s="14">
        <v>12</v>
      </c>
      <c r="AF123" s="14">
        <v>26</v>
      </c>
      <c r="AG123" s="14">
        <v>15</v>
      </c>
      <c r="AH123" s="14">
        <v>10</v>
      </c>
      <c r="AI123" s="14">
        <v>12</v>
      </c>
      <c r="AJ123" s="14">
        <v>-6</v>
      </c>
      <c r="AK123" s="15">
        <v>-0.6756756756756757</v>
      </c>
      <c r="AL123" s="26"/>
      <c r="AM123" s="18">
        <v>223</v>
      </c>
      <c r="AN123" s="14">
        <v>253</v>
      </c>
      <c r="AO123" s="14">
        <v>273</v>
      </c>
      <c r="AP123" s="14">
        <v>274</v>
      </c>
      <c r="AQ123" s="14">
        <v>310</v>
      </c>
      <c r="AR123" s="14">
        <v>348</v>
      </c>
      <c r="AS123" s="14">
        <v>354</v>
      </c>
      <c r="AT123" s="35">
        <v>101</v>
      </c>
      <c r="AU123" s="18">
        <v>11</v>
      </c>
      <c r="AV123" s="14">
        <v>16</v>
      </c>
      <c r="AW123" s="14">
        <v>22</v>
      </c>
      <c r="AX123" s="14">
        <v>24</v>
      </c>
      <c r="AY123" s="14">
        <v>25</v>
      </c>
      <c r="AZ123" s="14">
        <v>27</v>
      </c>
      <c r="BA123" s="14">
        <v>16</v>
      </c>
      <c r="BB123" s="34">
        <v>1.4545454545454546</v>
      </c>
    </row>
    <row r="124" spans="2:54" ht="15" customHeight="1">
      <c r="B124" s="19" t="s">
        <v>206</v>
      </c>
      <c r="C124" s="20"/>
      <c r="D124" s="20"/>
      <c r="E124" s="22">
        <v>108</v>
      </c>
      <c r="F124" s="18">
        <v>36</v>
      </c>
      <c r="G124" s="14">
        <v>36</v>
      </c>
      <c r="H124" s="14">
        <v>34</v>
      </c>
      <c r="I124" s="14">
        <v>34</v>
      </c>
      <c r="J124" s="14">
        <v>28</v>
      </c>
      <c r="K124" s="14">
        <v>32</v>
      </c>
      <c r="L124" s="14">
        <v>39</v>
      </c>
      <c r="M124" s="14">
        <v>41</v>
      </c>
      <c r="N124" s="14">
        <v>7</v>
      </c>
      <c r="O124" s="15">
        <v>0.20588235294117646</v>
      </c>
      <c r="P124" s="25">
        <v>-0.05555555555555555</v>
      </c>
      <c r="Q124" s="23">
        <v>20</v>
      </c>
      <c r="R124" s="14">
        <v>12</v>
      </c>
      <c r="S124" s="14">
        <v>10</v>
      </c>
      <c r="T124" s="14">
        <v>8</v>
      </c>
      <c r="U124" s="17">
        <v>3</v>
      </c>
      <c r="V124" s="17">
        <v>4</v>
      </c>
      <c r="W124" s="17">
        <v>5</v>
      </c>
      <c r="X124" s="17">
        <v>9</v>
      </c>
      <c r="Y124" s="14">
        <v>-1</v>
      </c>
      <c r="Z124" s="15">
        <v>-0.6</v>
      </c>
      <c r="AA124" s="25"/>
      <c r="AB124" s="18">
        <v>45</v>
      </c>
      <c r="AC124" s="14">
        <v>25</v>
      </c>
      <c r="AD124" s="14">
        <v>20</v>
      </c>
      <c r="AE124" s="14">
        <v>19</v>
      </c>
      <c r="AF124" s="14">
        <v>12</v>
      </c>
      <c r="AG124" s="14">
        <v>11</v>
      </c>
      <c r="AH124" s="14">
        <v>12</v>
      </c>
      <c r="AI124" s="14">
        <v>21</v>
      </c>
      <c r="AJ124" s="14">
        <v>1</v>
      </c>
      <c r="AK124" s="15">
        <v>-0.5777777777777777</v>
      </c>
      <c r="AL124" s="26"/>
      <c r="AM124" s="18">
        <v>174</v>
      </c>
      <c r="AN124" s="14">
        <v>213</v>
      </c>
      <c r="AO124" s="14">
        <v>236</v>
      </c>
      <c r="AP124" s="14">
        <v>244</v>
      </c>
      <c r="AQ124" s="14">
        <v>299</v>
      </c>
      <c r="AR124" s="14">
        <v>382</v>
      </c>
      <c r="AS124" s="14">
        <v>448</v>
      </c>
      <c r="AT124" s="35">
        <v>235</v>
      </c>
      <c r="AU124" s="18">
        <v>6</v>
      </c>
      <c r="AV124" s="14">
        <v>10</v>
      </c>
      <c r="AW124" s="14">
        <v>16</v>
      </c>
      <c r="AX124" s="14">
        <v>18</v>
      </c>
      <c r="AY124" s="14">
        <v>18</v>
      </c>
      <c r="AZ124" s="14">
        <v>22</v>
      </c>
      <c r="BA124" s="14">
        <v>16</v>
      </c>
      <c r="BB124" s="34">
        <v>2.6666666666666665</v>
      </c>
    </row>
    <row r="125" spans="2:54" ht="15" customHeight="1">
      <c r="B125" s="19" t="s">
        <v>207</v>
      </c>
      <c r="C125" s="20">
        <v>1</v>
      </c>
      <c r="D125" s="20" t="s">
        <v>47</v>
      </c>
      <c r="E125" s="21">
        <v>109</v>
      </c>
      <c r="F125" s="18">
        <v>354</v>
      </c>
      <c r="G125" s="14">
        <v>321</v>
      </c>
      <c r="H125" s="14">
        <v>299</v>
      </c>
      <c r="I125" s="14">
        <v>265</v>
      </c>
      <c r="J125" s="14">
        <v>288</v>
      </c>
      <c r="K125" s="14">
        <v>305</v>
      </c>
      <c r="L125" s="14">
        <v>346</v>
      </c>
      <c r="M125" s="14">
        <v>388</v>
      </c>
      <c r="N125" s="14">
        <v>89</v>
      </c>
      <c r="O125" s="15">
        <v>0.2976588628762542</v>
      </c>
      <c r="P125" s="25">
        <v>-0.2514124293785311</v>
      </c>
      <c r="Q125" s="23">
        <v>195</v>
      </c>
      <c r="R125" s="14">
        <v>137</v>
      </c>
      <c r="S125" s="14">
        <v>107</v>
      </c>
      <c r="T125" s="14">
        <v>105</v>
      </c>
      <c r="U125" s="17">
        <v>92</v>
      </c>
      <c r="V125" s="17">
        <v>72</v>
      </c>
      <c r="W125" s="17">
        <v>78</v>
      </c>
      <c r="X125" s="17">
        <v>76</v>
      </c>
      <c r="Y125" s="14">
        <v>-31</v>
      </c>
      <c r="Z125" s="15">
        <v>-0.46153846153846156</v>
      </c>
      <c r="AA125" s="25"/>
      <c r="AB125" s="18">
        <v>517</v>
      </c>
      <c r="AC125" s="14">
        <v>341</v>
      </c>
      <c r="AD125" s="14">
        <v>256</v>
      </c>
      <c r="AE125" s="14">
        <v>236</v>
      </c>
      <c r="AF125" s="14">
        <v>6</v>
      </c>
      <c r="AG125" s="14">
        <v>156</v>
      </c>
      <c r="AH125" s="14">
        <v>170</v>
      </c>
      <c r="AI125" s="14">
        <v>164</v>
      </c>
      <c r="AJ125" s="14">
        <v>-92</v>
      </c>
      <c r="AK125" s="15">
        <v>-0.5435203094777563</v>
      </c>
      <c r="AL125" s="26"/>
      <c r="AM125" s="18">
        <v>1523</v>
      </c>
      <c r="AN125" s="14">
        <v>1576</v>
      </c>
      <c r="AO125" s="14">
        <v>1669</v>
      </c>
      <c r="AP125" s="14">
        <v>1643</v>
      </c>
      <c r="AQ125" s="14">
        <v>1911</v>
      </c>
      <c r="AR125" s="14">
        <v>2032</v>
      </c>
      <c r="AS125" s="14">
        <v>2100</v>
      </c>
      <c r="AT125" s="35">
        <v>524</v>
      </c>
      <c r="AU125" s="18">
        <v>37</v>
      </c>
      <c r="AV125" s="14">
        <v>43</v>
      </c>
      <c r="AW125" s="14">
        <v>46</v>
      </c>
      <c r="AX125" s="14">
        <v>58</v>
      </c>
      <c r="AY125" s="14">
        <v>83</v>
      </c>
      <c r="AZ125" s="14">
        <v>97</v>
      </c>
      <c r="BA125" s="14">
        <v>60</v>
      </c>
      <c r="BB125" s="34">
        <v>1.6216216216216217</v>
      </c>
    </row>
    <row r="126" spans="2:54" ht="15" customHeight="1">
      <c r="B126" s="19" t="s">
        <v>208</v>
      </c>
      <c r="C126" s="20"/>
      <c r="D126" s="20"/>
      <c r="E126" s="22">
        <v>110</v>
      </c>
      <c r="F126" s="18">
        <v>228</v>
      </c>
      <c r="G126" s="14">
        <v>220</v>
      </c>
      <c r="H126" s="14">
        <v>205</v>
      </c>
      <c r="I126" s="14">
        <v>186</v>
      </c>
      <c r="J126" s="14">
        <v>211</v>
      </c>
      <c r="K126" s="14">
        <v>258</v>
      </c>
      <c r="L126" s="14">
        <v>280</v>
      </c>
      <c r="M126" s="14">
        <v>291</v>
      </c>
      <c r="N126" s="14">
        <v>86</v>
      </c>
      <c r="O126" s="15">
        <v>0.4195121951219512</v>
      </c>
      <c r="P126" s="25">
        <v>-0.18421052631578946</v>
      </c>
      <c r="Q126" s="23">
        <v>95</v>
      </c>
      <c r="R126" s="14">
        <v>74</v>
      </c>
      <c r="S126" s="14">
        <v>61</v>
      </c>
      <c r="T126" s="14">
        <v>54</v>
      </c>
      <c r="U126" s="17">
        <v>49</v>
      </c>
      <c r="V126" s="17">
        <v>56</v>
      </c>
      <c r="W126" s="17">
        <v>52</v>
      </c>
      <c r="X126" s="17">
        <v>51</v>
      </c>
      <c r="Y126" s="14">
        <v>-10</v>
      </c>
      <c r="Z126" s="15">
        <v>-0.43157894736842106</v>
      </c>
      <c r="AA126" s="25"/>
      <c r="AB126" s="18">
        <v>240</v>
      </c>
      <c r="AC126" s="14">
        <v>179</v>
      </c>
      <c r="AD126" s="14">
        <v>129</v>
      </c>
      <c r="AE126" s="14">
        <v>115</v>
      </c>
      <c r="AF126" s="14">
        <v>214</v>
      </c>
      <c r="AG126" s="14">
        <v>129</v>
      </c>
      <c r="AH126" s="14">
        <v>115</v>
      </c>
      <c r="AI126" s="14">
        <v>108</v>
      </c>
      <c r="AJ126" s="14">
        <v>-21</v>
      </c>
      <c r="AK126" s="15">
        <v>-0.5208333333333334</v>
      </c>
      <c r="AL126" s="26"/>
      <c r="AM126" s="18">
        <v>903</v>
      </c>
      <c r="AN126" s="14">
        <v>973</v>
      </c>
      <c r="AO126" s="14">
        <v>999</v>
      </c>
      <c r="AP126" s="14">
        <v>995</v>
      </c>
      <c r="AQ126" s="14">
        <v>1121</v>
      </c>
      <c r="AR126" s="14">
        <v>1308</v>
      </c>
      <c r="AS126" s="14">
        <v>1335</v>
      </c>
      <c r="AT126" s="35">
        <v>362</v>
      </c>
      <c r="AU126" s="18">
        <v>53</v>
      </c>
      <c r="AV126" s="14">
        <v>60</v>
      </c>
      <c r="AW126" s="14">
        <v>78</v>
      </c>
      <c r="AX126" s="14">
        <v>93</v>
      </c>
      <c r="AY126" s="14">
        <v>98</v>
      </c>
      <c r="AZ126" s="14">
        <v>103</v>
      </c>
      <c r="BA126" s="14">
        <v>50</v>
      </c>
      <c r="BB126" s="34">
        <v>0.9433962264150944</v>
      </c>
    </row>
    <row r="127" spans="2:54" ht="15" customHeight="1">
      <c r="B127" s="19" t="s">
        <v>209</v>
      </c>
      <c r="C127" s="20">
        <v>1</v>
      </c>
      <c r="D127" s="20" t="s">
        <v>52</v>
      </c>
      <c r="E127" s="22">
        <v>111</v>
      </c>
      <c r="F127" s="18">
        <v>128</v>
      </c>
      <c r="G127" s="14">
        <v>114</v>
      </c>
      <c r="H127" s="14">
        <v>123</v>
      </c>
      <c r="I127" s="14">
        <v>120</v>
      </c>
      <c r="J127" s="14">
        <v>140</v>
      </c>
      <c r="K127" s="14">
        <v>152</v>
      </c>
      <c r="L127" s="14">
        <v>167</v>
      </c>
      <c r="M127" s="14">
        <v>197</v>
      </c>
      <c r="N127" s="14">
        <v>74</v>
      </c>
      <c r="O127" s="15">
        <v>0.6016260162601627</v>
      </c>
      <c r="P127" s="25">
        <v>-0.0625</v>
      </c>
      <c r="Q127" s="23">
        <v>69</v>
      </c>
      <c r="R127" s="14">
        <v>48</v>
      </c>
      <c r="S127" s="14">
        <v>41</v>
      </c>
      <c r="T127" s="14">
        <v>37</v>
      </c>
      <c r="U127" s="17">
        <v>40</v>
      </c>
      <c r="V127" s="17">
        <v>49</v>
      </c>
      <c r="W127" s="17">
        <v>47</v>
      </c>
      <c r="X127" s="17">
        <v>38</v>
      </c>
      <c r="Y127" s="14">
        <v>-3</v>
      </c>
      <c r="Z127" s="15">
        <v>-0.463768115942029</v>
      </c>
      <c r="AA127" s="25"/>
      <c r="AB127" s="18">
        <v>173</v>
      </c>
      <c r="AC127" s="14">
        <v>105</v>
      </c>
      <c r="AD127" s="14">
        <v>84</v>
      </c>
      <c r="AE127" s="14">
        <v>76</v>
      </c>
      <c r="AF127" s="14">
        <v>113</v>
      </c>
      <c r="AG127" s="14">
        <v>101</v>
      </c>
      <c r="AH127" s="14">
        <v>103</v>
      </c>
      <c r="AI127" s="14">
        <v>76</v>
      </c>
      <c r="AJ127" s="14">
        <v>-8</v>
      </c>
      <c r="AK127" s="15">
        <v>-0.5606936416184971</v>
      </c>
      <c r="AL127" s="26"/>
      <c r="AM127" s="18">
        <v>655</v>
      </c>
      <c r="AN127" s="14">
        <v>645</v>
      </c>
      <c r="AO127" s="14">
        <v>707</v>
      </c>
      <c r="AP127" s="14">
        <v>752</v>
      </c>
      <c r="AQ127" s="14">
        <v>919</v>
      </c>
      <c r="AR127" s="14">
        <v>1080</v>
      </c>
      <c r="AS127" s="14">
        <v>1158</v>
      </c>
      <c r="AT127" s="35">
        <v>513</v>
      </c>
      <c r="AU127" s="18">
        <v>33</v>
      </c>
      <c r="AV127" s="14">
        <v>38</v>
      </c>
      <c r="AW127" s="14">
        <v>44</v>
      </c>
      <c r="AX127" s="14">
        <v>49</v>
      </c>
      <c r="AY127" s="14">
        <v>57</v>
      </c>
      <c r="AZ127" s="14">
        <v>67</v>
      </c>
      <c r="BA127" s="14">
        <v>34</v>
      </c>
      <c r="BB127" s="34">
        <v>1.0303030303030303</v>
      </c>
    </row>
    <row r="128" spans="2:54" ht="15" customHeight="1">
      <c r="B128" s="19" t="s">
        <v>210</v>
      </c>
      <c r="C128" s="20">
        <v>1</v>
      </c>
      <c r="D128" s="20" t="s">
        <v>47</v>
      </c>
      <c r="E128" s="21">
        <v>112</v>
      </c>
      <c r="F128" s="18">
        <v>24</v>
      </c>
      <c r="G128" s="14">
        <v>22</v>
      </c>
      <c r="H128" s="14">
        <v>18</v>
      </c>
      <c r="I128" s="14">
        <v>19</v>
      </c>
      <c r="J128" s="14">
        <v>24</v>
      </c>
      <c r="K128" s="14">
        <v>24</v>
      </c>
      <c r="L128" s="14">
        <v>26</v>
      </c>
      <c r="M128" s="14">
        <v>31</v>
      </c>
      <c r="N128" s="14">
        <v>13</v>
      </c>
      <c r="O128" s="15">
        <v>0.7222222222222222</v>
      </c>
      <c r="P128" s="25">
        <v>-0.20833333333333334</v>
      </c>
      <c r="Q128" s="23">
        <v>16</v>
      </c>
      <c r="R128" s="14">
        <v>9</v>
      </c>
      <c r="S128" s="14">
        <v>6</v>
      </c>
      <c r="T128" s="14">
        <v>3</v>
      </c>
      <c r="U128" s="17">
        <v>2</v>
      </c>
      <c r="V128" s="17">
        <v>4</v>
      </c>
      <c r="W128" s="17">
        <v>3</v>
      </c>
      <c r="X128" s="17">
        <v>4</v>
      </c>
      <c r="Y128" s="14">
        <v>-2</v>
      </c>
      <c r="Z128" s="15">
        <v>-0.8125</v>
      </c>
      <c r="AA128" s="25"/>
      <c r="AB128" s="18">
        <v>42</v>
      </c>
      <c r="AC128" s="14">
        <v>24</v>
      </c>
      <c r="AD128" s="14">
        <v>13</v>
      </c>
      <c r="AE128" s="14">
        <v>7</v>
      </c>
      <c r="AF128" s="14">
        <v>76</v>
      </c>
      <c r="AG128" s="14">
        <v>8</v>
      </c>
      <c r="AH128" s="14">
        <v>5</v>
      </c>
      <c r="AI128" s="14">
        <v>9</v>
      </c>
      <c r="AJ128" s="14">
        <v>-4</v>
      </c>
      <c r="AK128" s="15">
        <v>-0.8333333333333334</v>
      </c>
      <c r="AL128" s="26"/>
      <c r="AM128" s="18">
        <v>133</v>
      </c>
      <c r="AN128" s="14">
        <v>151</v>
      </c>
      <c r="AO128" s="14">
        <v>167</v>
      </c>
      <c r="AP128" s="14">
        <v>162</v>
      </c>
      <c r="AQ128" s="14">
        <v>192</v>
      </c>
      <c r="AR128" s="14">
        <v>200</v>
      </c>
      <c r="AS128" s="14">
        <v>235</v>
      </c>
      <c r="AT128" s="35">
        <v>84</v>
      </c>
      <c r="AU128" s="18">
        <v>4</v>
      </c>
      <c r="AV128" s="14">
        <v>7</v>
      </c>
      <c r="AW128" s="14">
        <v>5</v>
      </c>
      <c r="AX128" s="14">
        <v>8</v>
      </c>
      <c r="AY128" s="14">
        <v>5</v>
      </c>
      <c r="AZ128" s="14">
        <v>11</v>
      </c>
      <c r="BA128" s="14">
        <v>7</v>
      </c>
      <c r="BB128" s="34">
        <v>1.75</v>
      </c>
    </row>
    <row r="129" spans="2:54" ht="15" customHeight="1">
      <c r="B129" s="19" t="s">
        <v>211</v>
      </c>
      <c r="C129" s="20"/>
      <c r="D129" s="20"/>
      <c r="E129" s="22">
        <v>113</v>
      </c>
      <c r="F129" s="18">
        <v>102</v>
      </c>
      <c r="G129" s="14">
        <v>98</v>
      </c>
      <c r="H129" s="14">
        <v>87</v>
      </c>
      <c r="I129" s="14">
        <v>73</v>
      </c>
      <c r="J129" s="14">
        <v>79</v>
      </c>
      <c r="K129" s="14">
        <v>86</v>
      </c>
      <c r="L129" s="14">
        <v>95</v>
      </c>
      <c r="M129" s="14">
        <v>118</v>
      </c>
      <c r="N129" s="14">
        <v>31</v>
      </c>
      <c r="O129" s="15">
        <v>0.3563218390804598</v>
      </c>
      <c r="P129" s="25">
        <v>-0.28431372549019607</v>
      </c>
      <c r="Q129" s="23">
        <v>52</v>
      </c>
      <c r="R129" s="14">
        <v>38</v>
      </c>
      <c r="S129" s="14">
        <v>27</v>
      </c>
      <c r="T129" s="14">
        <v>17</v>
      </c>
      <c r="U129" s="17">
        <v>16</v>
      </c>
      <c r="V129" s="17">
        <v>20</v>
      </c>
      <c r="W129" s="17">
        <v>21</v>
      </c>
      <c r="X129" s="17">
        <v>24</v>
      </c>
      <c r="Y129" s="14">
        <v>-3</v>
      </c>
      <c r="Z129" s="15">
        <v>-0.6730769230769231</v>
      </c>
      <c r="AA129" s="25"/>
      <c r="AB129" s="18">
        <v>135</v>
      </c>
      <c r="AC129" s="14">
        <v>89</v>
      </c>
      <c r="AD129" s="14">
        <v>69</v>
      </c>
      <c r="AE129" s="14">
        <v>40</v>
      </c>
      <c r="AF129" s="14">
        <v>5</v>
      </c>
      <c r="AG129" s="14">
        <v>54</v>
      </c>
      <c r="AH129" s="14">
        <v>50</v>
      </c>
      <c r="AI129" s="14">
        <v>64</v>
      </c>
      <c r="AJ129" s="14">
        <v>-5</v>
      </c>
      <c r="AK129" s="15">
        <v>-0.7037037037037037</v>
      </c>
      <c r="AL129" s="26"/>
      <c r="AM129" s="18">
        <v>442</v>
      </c>
      <c r="AN129" s="14">
        <v>449</v>
      </c>
      <c r="AO129" s="14">
        <v>440</v>
      </c>
      <c r="AP129" s="14">
        <v>434</v>
      </c>
      <c r="AQ129" s="14">
        <v>563</v>
      </c>
      <c r="AR129" s="14">
        <v>612</v>
      </c>
      <c r="AS129" s="14">
        <v>596</v>
      </c>
      <c r="AT129" s="35">
        <v>147</v>
      </c>
      <c r="AU129" s="18">
        <v>15</v>
      </c>
      <c r="AV129" s="14">
        <v>17</v>
      </c>
      <c r="AW129" s="14">
        <v>27</v>
      </c>
      <c r="AX129" s="14">
        <v>24</v>
      </c>
      <c r="AY129" s="14">
        <v>28</v>
      </c>
      <c r="AZ129" s="14">
        <v>39</v>
      </c>
      <c r="BA129" s="14">
        <v>24</v>
      </c>
      <c r="BB129" s="34">
        <v>1.6</v>
      </c>
    </row>
    <row r="130" spans="2:54" ht="15" customHeight="1">
      <c r="B130" s="19" t="s">
        <v>212</v>
      </c>
      <c r="C130" s="20">
        <v>1</v>
      </c>
      <c r="D130" s="20" t="s">
        <v>47</v>
      </c>
      <c r="E130" s="22">
        <v>114</v>
      </c>
      <c r="F130" s="18">
        <v>24</v>
      </c>
      <c r="G130" s="14">
        <v>26</v>
      </c>
      <c r="H130" s="14">
        <v>26</v>
      </c>
      <c r="I130" s="14">
        <v>26</v>
      </c>
      <c r="J130" s="14">
        <v>32</v>
      </c>
      <c r="K130" s="14">
        <v>36</v>
      </c>
      <c r="L130" s="14">
        <v>50</v>
      </c>
      <c r="M130" s="14">
        <v>52</v>
      </c>
      <c r="N130" s="14">
        <v>26</v>
      </c>
      <c r="O130" s="15">
        <v>1</v>
      </c>
      <c r="P130" s="25">
        <v>0.08333333333333333</v>
      </c>
      <c r="Q130" s="23">
        <v>9</v>
      </c>
      <c r="R130" s="14">
        <v>8</v>
      </c>
      <c r="S130" s="14">
        <v>9</v>
      </c>
      <c r="T130" s="14">
        <v>7</v>
      </c>
      <c r="U130" s="17">
        <v>8</v>
      </c>
      <c r="V130" s="17">
        <v>8</v>
      </c>
      <c r="W130" s="17">
        <v>13</v>
      </c>
      <c r="X130" s="17">
        <v>10</v>
      </c>
      <c r="Y130" s="14">
        <v>1</v>
      </c>
      <c r="Z130" s="15">
        <v>-0.2222222222222222</v>
      </c>
      <c r="AA130" s="25"/>
      <c r="AB130" s="18">
        <v>21</v>
      </c>
      <c r="AC130" s="14">
        <v>16</v>
      </c>
      <c r="AD130" s="14">
        <v>18</v>
      </c>
      <c r="AE130" s="14">
        <v>12</v>
      </c>
      <c r="AF130" s="14">
        <v>41</v>
      </c>
      <c r="AG130" s="14">
        <v>17</v>
      </c>
      <c r="AH130" s="14">
        <v>28</v>
      </c>
      <c r="AI130" s="14">
        <v>25</v>
      </c>
      <c r="AJ130" s="14">
        <v>7</v>
      </c>
      <c r="AK130" s="15">
        <v>-0.42857142857142855</v>
      </c>
      <c r="AL130" s="26"/>
      <c r="AM130" s="18">
        <v>149</v>
      </c>
      <c r="AN130" s="14">
        <v>174</v>
      </c>
      <c r="AO130" s="14">
        <v>182</v>
      </c>
      <c r="AP130" s="14">
        <v>180</v>
      </c>
      <c r="AQ130" s="14">
        <v>193</v>
      </c>
      <c r="AR130" s="14">
        <v>243</v>
      </c>
      <c r="AS130" s="14">
        <v>282</v>
      </c>
      <c r="AT130" s="35">
        <v>108</v>
      </c>
      <c r="AU130" s="18">
        <v>6</v>
      </c>
      <c r="AV130" s="14">
        <v>7</v>
      </c>
      <c r="AW130" s="14">
        <v>8</v>
      </c>
      <c r="AX130" s="14">
        <v>10</v>
      </c>
      <c r="AY130" s="14">
        <v>15</v>
      </c>
      <c r="AZ130" s="14">
        <v>18</v>
      </c>
      <c r="BA130" s="14">
        <v>12</v>
      </c>
      <c r="BB130" s="34">
        <v>2</v>
      </c>
    </row>
    <row r="131" spans="2:54" ht="15" customHeight="1">
      <c r="B131" s="19" t="s">
        <v>213</v>
      </c>
      <c r="C131" s="20"/>
      <c r="D131" s="20"/>
      <c r="E131" s="21">
        <v>115</v>
      </c>
      <c r="F131" s="18">
        <v>27</v>
      </c>
      <c r="G131" s="14">
        <v>27</v>
      </c>
      <c r="H131" s="14">
        <v>24</v>
      </c>
      <c r="I131" s="14">
        <v>21</v>
      </c>
      <c r="J131" s="14">
        <v>26</v>
      </c>
      <c r="K131" s="14">
        <v>26</v>
      </c>
      <c r="L131" s="14">
        <v>30</v>
      </c>
      <c r="M131" s="14">
        <v>39</v>
      </c>
      <c r="N131" s="14">
        <v>15</v>
      </c>
      <c r="O131" s="15">
        <v>0.625</v>
      </c>
      <c r="P131" s="25">
        <v>-0.2222222222222222</v>
      </c>
      <c r="Q131" s="23">
        <v>20</v>
      </c>
      <c r="R131" s="14">
        <v>15</v>
      </c>
      <c r="S131" s="14">
        <v>10</v>
      </c>
      <c r="T131" s="14">
        <v>8</v>
      </c>
      <c r="U131" s="17">
        <v>4</v>
      </c>
      <c r="V131" s="17">
        <v>8</v>
      </c>
      <c r="W131" s="17">
        <v>10</v>
      </c>
      <c r="X131" s="17">
        <v>9</v>
      </c>
      <c r="Y131" s="14">
        <v>-1</v>
      </c>
      <c r="Z131" s="15">
        <v>-0.6</v>
      </c>
      <c r="AA131" s="25"/>
      <c r="AB131" s="18">
        <v>52</v>
      </c>
      <c r="AC131" s="14">
        <v>34</v>
      </c>
      <c r="AD131" s="14">
        <v>20</v>
      </c>
      <c r="AE131" s="14">
        <v>12</v>
      </c>
      <c r="AF131" s="14">
        <v>16</v>
      </c>
      <c r="AG131" s="14">
        <v>14</v>
      </c>
      <c r="AH131" s="14">
        <v>22</v>
      </c>
      <c r="AI131" s="14">
        <v>15</v>
      </c>
      <c r="AJ131" s="14">
        <v>-5</v>
      </c>
      <c r="AK131" s="15">
        <v>-0.7692307692307693</v>
      </c>
      <c r="AL131" s="26"/>
      <c r="AM131" s="18">
        <v>276</v>
      </c>
      <c r="AN131" s="14">
        <v>298</v>
      </c>
      <c r="AO131" s="14">
        <v>328</v>
      </c>
      <c r="AP131" s="14">
        <v>337</v>
      </c>
      <c r="AQ131" s="14">
        <v>405</v>
      </c>
      <c r="AR131" s="14">
        <v>489</v>
      </c>
      <c r="AS131" s="14">
        <v>467</v>
      </c>
      <c r="AT131" s="35">
        <v>169</v>
      </c>
      <c r="AU131" s="18">
        <v>10</v>
      </c>
      <c r="AV131" s="14">
        <v>9</v>
      </c>
      <c r="AW131" s="14">
        <v>10</v>
      </c>
      <c r="AX131" s="14">
        <v>13</v>
      </c>
      <c r="AY131" s="14">
        <v>15</v>
      </c>
      <c r="AZ131" s="14">
        <v>17</v>
      </c>
      <c r="BA131" s="14">
        <v>7</v>
      </c>
      <c r="BB131" s="34">
        <v>0.7</v>
      </c>
    </row>
    <row r="132" spans="2:54" ht="15" customHeight="1">
      <c r="B132" s="19" t="s">
        <v>214</v>
      </c>
      <c r="C132" s="20">
        <v>1</v>
      </c>
      <c r="D132" s="20" t="s">
        <v>47</v>
      </c>
      <c r="E132" s="22">
        <v>116</v>
      </c>
      <c r="F132" s="18">
        <v>328</v>
      </c>
      <c r="G132" s="14">
        <v>321</v>
      </c>
      <c r="H132" s="14">
        <v>296</v>
      </c>
      <c r="I132" s="14">
        <v>277</v>
      </c>
      <c r="J132" s="14">
        <v>281</v>
      </c>
      <c r="K132" s="14">
        <v>280</v>
      </c>
      <c r="L132" s="14">
        <v>308</v>
      </c>
      <c r="M132" s="14">
        <v>326</v>
      </c>
      <c r="N132" s="14">
        <v>30</v>
      </c>
      <c r="O132" s="15">
        <v>0.10135135135135136</v>
      </c>
      <c r="P132" s="25">
        <v>-0.15548780487804878</v>
      </c>
      <c r="Q132" s="23">
        <v>167</v>
      </c>
      <c r="R132" s="14">
        <v>133</v>
      </c>
      <c r="S132" s="14">
        <v>99</v>
      </c>
      <c r="T132" s="14">
        <v>84</v>
      </c>
      <c r="U132" s="17">
        <v>72</v>
      </c>
      <c r="V132" s="17">
        <v>58</v>
      </c>
      <c r="W132" s="17">
        <v>66</v>
      </c>
      <c r="X132" s="17">
        <v>65</v>
      </c>
      <c r="Y132" s="14">
        <v>-34</v>
      </c>
      <c r="Z132" s="15">
        <v>-0.49700598802395207</v>
      </c>
      <c r="AA132" s="25"/>
      <c r="AB132" s="18">
        <v>454</v>
      </c>
      <c r="AC132" s="14">
        <v>334</v>
      </c>
      <c r="AD132" s="14">
        <v>242</v>
      </c>
      <c r="AE132" s="14">
        <v>202</v>
      </c>
      <c r="AF132" s="14">
        <v>9</v>
      </c>
      <c r="AG132" s="14">
        <v>120</v>
      </c>
      <c r="AH132" s="14">
        <v>139</v>
      </c>
      <c r="AI132" s="14">
        <v>146</v>
      </c>
      <c r="AJ132" s="14">
        <v>-96</v>
      </c>
      <c r="AK132" s="15">
        <v>-0.5550660792951542</v>
      </c>
      <c r="AL132" s="26"/>
      <c r="AM132" s="18">
        <v>1301</v>
      </c>
      <c r="AN132" s="14">
        <v>1286</v>
      </c>
      <c r="AO132" s="14">
        <v>1302</v>
      </c>
      <c r="AP132" s="14">
        <v>1341</v>
      </c>
      <c r="AQ132" s="14">
        <v>1455</v>
      </c>
      <c r="AR132" s="14">
        <v>1492</v>
      </c>
      <c r="AS132" s="14">
        <v>1556</v>
      </c>
      <c r="AT132" s="35">
        <v>270</v>
      </c>
      <c r="AU132" s="18">
        <v>47</v>
      </c>
      <c r="AV132" s="14">
        <v>54</v>
      </c>
      <c r="AW132" s="14">
        <v>55</v>
      </c>
      <c r="AX132" s="14">
        <v>61</v>
      </c>
      <c r="AY132" s="14">
        <v>80</v>
      </c>
      <c r="AZ132" s="14">
        <v>96</v>
      </c>
      <c r="BA132" s="14">
        <v>49</v>
      </c>
      <c r="BB132" s="34">
        <v>1.0425531914893618</v>
      </c>
    </row>
    <row r="133" spans="2:54" ht="15" customHeight="1">
      <c r="B133" s="19" t="s">
        <v>215</v>
      </c>
      <c r="C133" s="20"/>
      <c r="D133" s="20"/>
      <c r="E133" s="22">
        <v>117</v>
      </c>
      <c r="F133" s="18">
        <v>11</v>
      </c>
      <c r="G133" s="14">
        <v>9</v>
      </c>
      <c r="H133" s="14">
        <v>6</v>
      </c>
      <c r="I133" s="14">
        <v>6</v>
      </c>
      <c r="J133" s="14">
        <v>10</v>
      </c>
      <c r="K133" s="14">
        <v>9</v>
      </c>
      <c r="L133" s="14">
        <v>10</v>
      </c>
      <c r="M133" s="14">
        <v>7</v>
      </c>
      <c r="N133" s="14">
        <v>1</v>
      </c>
      <c r="O133" s="15">
        <v>0.16666666666666666</v>
      </c>
      <c r="P133" s="25">
        <v>-0.45454545454545453</v>
      </c>
      <c r="Q133" s="23">
        <v>5</v>
      </c>
      <c r="R133" s="14">
        <v>2</v>
      </c>
      <c r="S133" s="14">
        <v>1</v>
      </c>
      <c r="T133" s="14">
        <v>1</v>
      </c>
      <c r="U133" s="17">
        <v>1</v>
      </c>
      <c r="V133" s="17">
        <v>1</v>
      </c>
      <c r="W133" s="17">
        <v>2</v>
      </c>
      <c r="X133" s="17">
        <v>2</v>
      </c>
      <c r="Y133" s="14">
        <v>1</v>
      </c>
      <c r="Z133" s="15">
        <v>-0.8</v>
      </c>
      <c r="AA133" s="25"/>
      <c r="AB133" s="18">
        <v>14</v>
      </c>
      <c r="AC133" s="14">
        <v>4</v>
      </c>
      <c r="AD133" s="14">
        <v>3</v>
      </c>
      <c r="AE133" s="14">
        <v>2</v>
      </c>
      <c r="AF133" s="14">
        <v>163</v>
      </c>
      <c r="AG133" s="14">
        <v>2</v>
      </c>
      <c r="AH133" s="14">
        <v>5</v>
      </c>
      <c r="AI133" s="14">
        <v>5</v>
      </c>
      <c r="AJ133" s="14">
        <v>2</v>
      </c>
      <c r="AK133" s="15">
        <v>-0.8571428571428571</v>
      </c>
      <c r="AL133" s="26"/>
      <c r="AM133" s="18">
        <v>72</v>
      </c>
      <c r="AN133" s="14">
        <v>72</v>
      </c>
      <c r="AO133" s="14">
        <v>72</v>
      </c>
      <c r="AP133" s="14">
        <v>72</v>
      </c>
      <c r="AQ133" s="14">
        <v>77</v>
      </c>
      <c r="AR133" s="14">
        <v>99</v>
      </c>
      <c r="AS133" s="14">
        <v>114</v>
      </c>
      <c r="AT133" s="35">
        <v>42</v>
      </c>
      <c r="AU133" s="18">
        <v>2</v>
      </c>
      <c r="AV133" s="14">
        <v>3</v>
      </c>
      <c r="AW133" s="14">
        <v>3</v>
      </c>
      <c r="AX133" s="14">
        <v>6</v>
      </c>
      <c r="AY133" s="14">
        <v>5</v>
      </c>
      <c r="AZ133" s="14">
        <v>2</v>
      </c>
      <c r="BA133" s="14">
        <v>0</v>
      </c>
      <c r="BB133" s="34">
        <v>0</v>
      </c>
    </row>
    <row r="134" spans="2:54" ht="15" customHeight="1">
      <c r="B134" s="19" t="s">
        <v>216</v>
      </c>
      <c r="C134" s="20"/>
      <c r="D134" s="20"/>
      <c r="E134" s="21">
        <v>118</v>
      </c>
      <c r="F134" s="18">
        <v>35</v>
      </c>
      <c r="G134" s="14">
        <v>31</v>
      </c>
      <c r="H134" s="14">
        <v>31</v>
      </c>
      <c r="I134" s="14">
        <v>32</v>
      </c>
      <c r="J134" s="14">
        <v>37</v>
      </c>
      <c r="K134" s="14">
        <v>39</v>
      </c>
      <c r="L134" s="14">
        <v>40</v>
      </c>
      <c r="M134" s="14">
        <v>42</v>
      </c>
      <c r="N134" s="14">
        <v>11</v>
      </c>
      <c r="O134" s="15">
        <v>0.3548387096774194</v>
      </c>
      <c r="P134" s="25">
        <v>-0.08571428571428572</v>
      </c>
      <c r="Q134" s="23">
        <v>12</v>
      </c>
      <c r="R134" s="14">
        <v>6</v>
      </c>
      <c r="S134" s="14">
        <v>6</v>
      </c>
      <c r="T134" s="14">
        <v>7</v>
      </c>
      <c r="U134" s="17">
        <v>5</v>
      </c>
      <c r="V134" s="17">
        <v>5</v>
      </c>
      <c r="W134" s="17">
        <v>4</v>
      </c>
      <c r="X134" s="17">
        <v>3</v>
      </c>
      <c r="Y134" s="14">
        <v>-3</v>
      </c>
      <c r="Z134" s="15">
        <v>-0.4166666666666667</v>
      </c>
      <c r="AA134" s="25"/>
      <c r="AB134" s="18">
        <v>33</v>
      </c>
      <c r="AC134" s="14">
        <v>15</v>
      </c>
      <c r="AD134" s="14">
        <v>12</v>
      </c>
      <c r="AE134" s="14">
        <v>15</v>
      </c>
      <c r="AF134" s="14">
        <v>3</v>
      </c>
      <c r="AG134" s="14">
        <v>11</v>
      </c>
      <c r="AH134" s="14">
        <v>7</v>
      </c>
      <c r="AI134" s="14">
        <v>4</v>
      </c>
      <c r="AJ134" s="14">
        <v>-8</v>
      </c>
      <c r="AK134" s="15">
        <v>-0.5454545454545454</v>
      </c>
      <c r="AL134" s="26"/>
      <c r="AM134" s="18">
        <v>248</v>
      </c>
      <c r="AN134" s="14">
        <v>264</v>
      </c>
      <c r="AO134" s="14">
        <v>312</v>
      </c>
      <c r="AP134" s="14">
        <v>325</v>
      </c>
      <c r="AQ134" s="14">
        <v>388</v>
      </c>
      <c r="AR134" s="14">
        <v>424</v>
      </c>
      <c r="AS134" s="14">
        <v>427</v>
      </c>
      <c r="AT134" s="35">
        <v>163</v>
      </c>
      <c r="AU134" s="18">
        <v>9</v>
      </c>
      <c r="AV134" s="14">
        <v>8</v>
      </c>
      <c r="AW134" s="14">
        <v>14</v>
      </c>
      <c r="AX134" s="14">
        <v>18</v>
      </c>
      <c r="AY134" s="14">
        <v>19</v>
      </c>
      <c r="AZ134" s="14">
        <v>15</v>
      </c>
      <c r="BA134" s="14">
        <v>6</v>
      </c>
      <c r="BB134" s="34">
        <v>0.6666666666666666</v>
      </c>
    </row>
    <row r="135" spans="2:54" ht="15" customHeight="1">
      <c r="B135" s="19" t="s">
        <v>217</v>
      </c>
      <c r="C135" s="20"/>
      <c r="D135" s="20"/>
      <c r="E135" s="22">
        <v>119</v>
      </c>
      <c r="F135" s="18">
        <v>99</v>
      </c>
      <c r="G135" s="14">
        <v>97</v>
      </c>
      <c r="H135" s="14">
        <v>97</v>
      </c>
      <c r="I135" s="14">
        <v>89</v>
      </c>
      <c r="J135" s="14">
        <v>101</v>
      </c>
      <c r="K135" s="14">
        <v>106</v>
      </c>
      <c r="L135" s="14">
        <v>113</v>
      </c>
      <c r="M135" s="14">
        <v>120</v>
      </c>
      <c r="N135" s="14">
        <v>23</v>
      </c>
      <c r="O135" s="15">
        <v>0.23711340206185566</v>
      </c>
      <c r="P135" s="25">
        <v>-0.10101010101010101</v>
      </c>
      <c r="Q135" s="23">
        <v>45</v>
      </c>
      <c r="R135" s="14">
        <v>35</v>
      </c>
      <c r="S135" s="14">
        <v>26</v>
      </c>
      <c r="T135" s="14">
        <v>25</v>
      </c>
      <c r="U135" s="17">
        <v>18</v>
      </c>
      <c r="V135" s="17">
        <v>12</v>
      </c>
      <c r="W135" s="17">
        <v>13</v>
      </c>
      <c r="X135" s="17">
        <v>14</v>
      </c>
      <c r="Y135" s="14">
        <v>-12</v>
      </c>
      <c r="Z135" s="15">
        <v>-0.4444444444444444</v>
      </c>
      <c r="AA135" s="25"/>
      <c r="AB135" s="18">
        <v>108</v>
      </c>
      <c r="AC135" s="14">
        <v>75</v>
      </c>
      <c r="AD135" s="14">
        <v>58</v>
      </c>
      <c r="AE135" s="14">
        <v>55</v>
      </c>
      <c r="AF135" s="14">
        <v>8</v>
      </c>
      <c r="AG135" s="14">
        <v>28</v>
      </c>
      <c r="AH135" s="14">
        <v>21</v>
      </c>
      <c r="AI135" s="14">
        <v>28</v>
      </c>
      <c r="AJ135" s="14">
        <v>-30</v>
      </c>
      <c r="AK135" s="15">
        <v>-0.49074074074074076</v>
      </c>
      <c r="AL135" s="26"/>
      <c r="AM135" s="18">
        <v>764</v>
      </c>
      <c r="AN135" s="14">
        <v>734</v>
      </c>
      <c r="AO135" s="14">
        <v>6512</v>
      </c>
      <c r="AP135" s="14">
        <v>829</v>
      </c>
      <c r="AQ135" s="14">
        <v>905</v>
      </c>
      <c r="AR135" s="14">
        <v>939</v>
      </c>
      <c r="AS135" s="14">
        <v>873</v>
      </c>
      <c r="AT135" s="35">
        <v>139</v>
      </c>
      <c r="AU135" s="18">
        <v>26</v>
      </c>
      <c r="AV135" s="14">
        <v>30</v>
      </c>
      <c r="AW135" s="14">
        <v>40</v>
      </c>
      <c r="AX135" s="14">
        <v>38</v>
      </c>
      <c r="AY135" s="14">
        <v>39</v>
      </c>
      <c r="AZ135" s="14">
        <v>45</v>
      </c>
      <c r="BA135" s="14">
        <v>19</v>
      </c>
      <c r="BB135" s="34">
        <v>0.7307692307692307</v>
      </c>
    </row>
    <row r="136" spans="2:54" ht="15" customHeight="1">
      <c r="B136" s="19" t="s">
        <v>218</v>
      </c>
      <c r="C136" s="20">
        <v>1</v>
      </c>
      <c r="D136" s="20" t="s">
        <v>52</v>
      </c>
      <c r="E136" s="22">
        <v>120</v>
      </c>
      <c r="F136" s="18">
        <v>3</v>
      </c>
      <c r="G136" s="14">
        <v>3</v>
      </c>
      <c r="H136" s="14">
        <v>3</v>
      </c>
      <c r="I136" s="14">
        <v>3</v>
      </c>
      <c r="J136" s="14">
        <v>2</v>
      </c>
      <c r="K136" s="14">
        <v>3</v>
      </c>
      <c r="L136" s="14">
        <v>4</v>
      </c>
      <c r="M136" s="14">
        <v>3</v>
      </c>
      <c r="N136" s="14">
        <v>0</v>
      </c>
      <c r="O136" s="15">
        <v>0</v>
      </c>
      <c r="P136" s="25">
        <v>0</v>
      </c>
      <c r="Q136" s="23">
        <v>1</v>
      </c>
      <c r="R136" s="14">
        <v>1</v>
      </c>
      <c r="S136" s="14">
        <v>0</v>
      </c>
      <c r="T136" s="14">
        <v>0</v>
      </c>
      <c r="U136" s="17">
        <v>0</v>
      </c>
      <c r="V136" s="17">
        <v>0</v>
      </c>
      <c r="W136" s="17">
        <v>0</v>
      </c>
      <c r="X136" s="17">
        <v>0</v>
      </c>
      <c r="Y136" s="14">
        <v>0</v>
      </c>
      <c r="Z136" s="15">
        <v>-1</v>
      </c>
      <c r="AA136" s="25"/>
      <c r="AB136" s="18">
        <v>2</v>
      </c>
      <c r="AC136" s="14">
        <v>2</v>
      </c>
      <c r="AD136" s="14">
        <v>0</v>
      </c>
      <c r="AE136" s="14">
        <v>0</v>
      </c>
      <c r="AF136" s="14">
        <v>42</v>
      </c>
      <c r="AG136" s="14">
        <v>1</v>
      </c>
      <c r="AH136" s="14">
        <v>0</v>
      </c>
      <c r="AI136" s="14">
        <v>1</v>
      </c>
      <c r="AJ136" s="14">
        <v>1</v>
      </c>
      <c r="AK136" s="15">
        <v>-1</v>
      </c>
      <c r="AL136" s="26"/>
      <c r="AM136" s="18">
        <v>26</v>
      </c>
      <c r="AN136" s="14">
        <v>32</v>
      </c>
      <c r="AO136" s="14">
        <v>29</v>
      </c>
      <c r="AP136" s="14">
        <v>31</v>
      </c>
      <c r="AQ136" s="14">
        <v>38</v>
      </c>
      <c r="AR136" s="14">
        <v>53</v>
      </c>
      <c r="AS136" s="14">
        <v>62</v>
      </c>
      <c r="AT136" s="35">
        <v>30</v>
      </c>
      <c r="AU136" s="18">
        <v>1</v>
      </c>
      <c r="AV136" s="14">
        <v>2</v>
      </c>
      <c r="AW136" s="14">
        <v>1</v>
      </c>
      <c r="AX136" s="14">
        <v>0</v>
      </c>
      <c r="AY136" s="14">
        <v>1</v>
      </c>
      <c r="AZ136" s="14">
        <v>1</v>
      </c>
      <c r="BA136" s="14">
        <v>0</v>
      </c>
      <c r="BB136" s="34">
        <v>0</v>
      </c>
    </row>
    <row r="137" spans="2:54" ht="15" customHeight="1">
      <c r="B137" s="19" t="s">
        <v>219</v>
      </c>
      <c r="C137" s="20">
        <v>1</v>
      </c>
      <c r="D137" s="20" t="s">
        <v>47</v>
      </c>
      <c r="E137" s="21">
        <v>121</v>
      </c>
      <c r="F137" s="18">
        <v>17</v>
      </c>
      <c r="G137" s="14">
        <v>15</v>
      </c>
      <c r="H137" s="14">
        <v>13</v>
      </c>
      <c r="I137" s="14">
        <v>14</v>
      </c>
      <c r="J137" s="14">
        <v>13</v>
      </c>
      <c r="K137" s="14">
        <v>15</v>
      </c>
      <c r="L137" s="14">
        <v>18</v>
      </c>
      <c r="M137" s="14">
        <v>21</v>
      </c>
      <c r="N137" s="14">
        <v>8</v>
      </c>
      <c r="O137" s="15">
        <v>0.6153846153846154</v>
      </c>
      <c r="P137" s="25">
        <v>-0.17647058823529413</v>
      </c>
      <c r="Q137" s="23">
        <v>11</v>
      </c>
      <c r="R137" s="14">
        <v>6</v>
      </c>
      <c r="S137" s="14">
        <v>4</v>
      </c>
      <c r="T137" s="14">
        <v>3</v>
      </c>
      <c r="U137" s="17">
        <v>5</v>
      </c>
      <c r="V137" s="17">
        <v>5</v>
      </c>
      <c r="W137" s="17">
        <v>5</v>
      </c>
      <c r="X137" s="17">
        <v>5</v>
      </c>
      <c r="Y137" s="14">
        <v>1</v>
      </c>
      <c r="Z137" s="15">
        <v>-0.7272727272727273</v>
      </c>
      <c r="AA137" s="25"/>
      <c r="AB137" s="18">
        <v>25</v>
      </c>
      <c r="AC137" s="14">
        <v>12</v>
      </c>
      <c r="AD137" s="14">
        <v>9</v>
      </c>
      <c r="AE137" s="14">
        <v>10</v>
      </c>
      <c r="AF137" s="14">
        <v>0</v>
      </c>
      <c r="AG137" s="14">
        <v>10</v>
      </c>
      <c r="AH137" s="14">
        <v>10</v>
      </c>
      <c r="AI137" s="14">
        <v>8</v>
      </c>
      <c r="AJ137" s="14">
        <v>-1</v>
      </c>
      <c r="AK137" s="15">
        <v>-0.6</v>
      </c>
      <c r="AL137" s="26"/>
      <c r="AM137" s="18">
        <v>85</v>
      </c>
      <c r="AN137" s="14">
        <v>90</v>
      </c>
      <c r="AO137" s="14">
        <v>106</v>
      </c>
      <c r="AP137" s="14">
        <v>113</v>
      </c>
      <c r="AQ137" s="14">
        <v>135</v>
      </c>
      <c r="AR137" s="14">
        <v>158</v>
      </c>
      <c r="AS137" s="14">
        <v>180</v>
      </c>
      <c r="AT137" s="35">
        <v>90</v>
      </c>
      <c r="AU137" s="18">
        <v>1</v>
      </c>
      <c r="AV137" s="14">
        <v>4</v>
      </c>
      <c r="AW137" s="14">
        <v>1</v>
      </c>
      <c r="AX137" s="14">
        <v>4</v>
      </c>
      <c r="AY137" s="14">
        <v>8</v>
      </c>
      <c r="AZ137" s="14">
        <v>11</v>
      </c>
      <c r="BA137" s="14">
        <v>10</v>
      </c>
      <c r="BB137" s="34">
        <v>10</v>
      </c>
    </row>
    <row r="138" spans="2:54" ht="15" customHeight="1">
      <c r="B138" s="19" t="s">
        <v>220</v>
      </c>
      <c r="C138" s="20">
        <v>1</v>
      </c>
      <c r="D138" s="20" t="s">
        <v>52</v>
      </c>
      <c r="E138" s="22">
        <v>122</v>
      </c>
      <c r="F138" s="18">
        <v>15</v>
      </c>
      <c r="G138" s="14">
        <v>17</v>
      </c>
      <c r="H138" s="14">
        <v>16</v>
      </c>
      <c r="I138" s="14">
        <v>14</v>
      </c>
      <c r="J138" s="14">
        <v>12</v>
      </c>
      <c r="K138" s="14">
        <v>12</v>
      </c>
      <c r="L138" s="14">
        <v>10</v>
      </c>
      <c r="M138" s="14">
        <v>14</v>
      </c>
      <c r="N138" s="14">
        <v>-2</v>
      </c>
      <c r="O138" s="15">
        <v>-0.125</v>
      </c>
      <c r="P138" s="25">
        <v>-0.06666666666666667</v>
      </c>
      <c r="Q138" s="23">
        <v>7</v>
      </c>
      <c r="R138" s="14">
        <v>7</v>
      </c>
      <c r="S138" s="14">
        <v>5</v>
      </c>
      <c r="T138" s="14">
        <v>3</v>
      </c>
      <c r="U138" s="17">
        <v>1</v>
      </c>
      <c r="V138" s="17">
        <v>2</v>
      </c>
      <c r="W138" s="17">
        <v>5</v>
      </c>
      <c r="X138" s="17">
        <v>6</v>
      </c>
      <c r="Y138" s="14">
        <v>1</v>
      </c>
      <c r="Z138" s="15">
        <v>-0.5714285714285714</v>
      </c>
      <c r="AA138" s="25"/>
      <c r="AB138" s="18">
        <v>19</v>
      </c>
      <c r="AC138" s="14">
        <v>17</v>
      </c>
      <c r="AD138" s="14">
        <v>14</v>
      </c>
      <c r="AE138" s="14">
        <v>7</v>
      </c>
      <c r="AF138" s="14">
        <v>10</v>
      </c>
      <c r="AG138" s="14">
        <v>4</v>
      </c>
      <c r="AH138" s="14">
        <v>9</v>
      </c>
      <c r="AI138" s="14">
        <v>13</v>
      </c>
      <c r="AJ138" s="14">
        <v>-1</v>
      </c>
      <c r="AK138" s="15">
        <v>-0.631578947368421</v>
      </c>
      <c r="AL138" s="26"/>
      <c r="AM138" s="18">
        <v>156</v>
      </c>
      <c r="AN138" s="14">
        <v>183</v>
      </c>
      <c r="AO138" s="14">
        <v>179</v>
      </c>
      <c r="AP138" s="14">
        <v>173</v>
      </c>
      <c r="AQ138" s="14">
        <v>192</v>
      </c>
      <c r="AR138" s="14">
        <v>217</v>
      </c>
      <c r="AS138" s="14">
        <v>245</v>
      </c>
      <c r="AT138" s="35">
        <v>62</v>
      </c>
      <c r="AU138" s="18">
        <v>2</v>
      </c>
      <c r="AV138" s="14">
        <v>4</v>
      </c>
      <c r="AW138" s="14">
        <v>6</v>
      </c>
      <c r="AX138" s="14">
        <v>9</v>
      </c>
      <c r="AY138" s="14">
        <v>7</v>
      </c>
      <c r="AZ138" s="14">
        <v>5</v>
      </c>
      <c r="BA138" s="14">
        <v>3</v>
      </c>
      <c r="BB138" s="34">
        <v>1.5</v>
      </c>
    </row>
    <row r="139" spans="2:54" ht="15" customHeight="1">
      <c r="B139" s="19" t="s">
        <v>221</v>
      </c>
      <c r="C139" s="20">
        <v>1</v>
      </c>
      <c r="D139" s="20" t="s">
        <v>47</v>
      </c>
      <c r="E139" s="22">
        <v>123</v>
      </c>
      <c r="F139" s="18">
        <v>5</v>
      </c>
      <c r="G139" s="14">
        <v>6</v>
      </c>
      <c r="H139" s="14">
        <v>5</v>
      </c>
      <c r="I139" s="14">
        <v>5</v>
      </c>
      <c r="J139" s="14">
        <v>4</v>
      </c>
      <c r="K139" s="14">
        <v>4</v>
      </c>
      <c r="L139" s="14">
        <v>6</v>
      </c>
      <c r="M139" s="14">
        <v>7</v>
      </c>
      <c r="N139" s="14">
        <v>2</v>
      </c>
      <c r="O139" s="15">
        <v>0.4</v>
      </c>
      <c r="P139" s="25">
        <v>0</v>
      </c>
      <c r="Q139" s="23">
        <v>3</v>
      </c>
      <c r="R139" s="14">
        <v>3</v>
      </c>
      <c r="S139" s="14">
        <v>1</v>
      </c>
      <c r="T139" s="14">
        <v>1</v>
      </c>
      <c r="U139" s="17">
        <v>1</v>
      </c>
      <c r="V139" s="17">
        <v>1</v>
      </c>
      <c r="W139" s="17">
        <v>3</v>
      </c>
      <c r="X139" s="17">
        <v>4</v>
      </c>
      <c r="Y139" s="14">
        <v>3</v>
      </c>
      <c r="Z139" s="15">
        <v>-0.6666666666666666</v>
      </c>
      <c r="AA139" s="25"/>
      <c r="AB139" s="18">
        <v>8</v>
      </c>
      <c r="AC139" s="14">
        <v>9</v>
      </c>
      <c r="AD139" s="14">
        <v>3</v>
      </c>
      <c r="AE139" s="14">
        <v>1</v>
      </c>
      <c r="AF139" s="14">
        <v>5</v>
      </c>
      <c r="AG139" s="14">
        <v>2</v>
      </c>
      <c r="AH139" s="14">
        <v>7</v>
      </c>
      <c r="AI139" s="14">
        <v>6</v>
      </c>
      <c r="AJ139" s="14">
        <v>3</v>
      </c>
      <c r="AK139" s="15">
        <v>-0.875</v>
      </c>
      <c r="AL139" s="26"/>
      <c r="AM139" s="18">
        <v>55</v>
      </c>
      <c r="AN139" s="14">
        <v>63</v>
      </c>
      <c r="AO139" s="14">
        <v>53</v>
      </c>
      <c r="AP139" s="14">
        <v>49</v>
      </c>
      <c r="AQ139" s="14">
        <v>59</v>
      </c>
      <c r="AR139" s="14">
        <v>78</v>
      </c>
      <c r="AS139" s="14">
        <v>89</v>
      </c>
      <c r="AT139" s="35">
        <v>26</v>
      </c>
      <c r="AU139" s="18">
        <v>2</v>
      </c>
      <c r="AV139" s="14">
        <v>3</v>
      </c>
      <c r="AW139" s="14">
        <v>1</v>
      </c>
      <c r="AX139" s="14">
        <v>2</v>
      </c>
      <c r="AY139" s="14">
        <v>0</v>
      </c>
      <c r="AZ139" s="14">
        <v>1</v>
      </c>
      <c r="BA139" s="14">
        <v>-1</v>
      </c>
      <c r="BB139" s="34">
        <v>-0.5</v>
      </c>
    </row>
    <row r="140" spans="2:54" ht="15" customHeight="1">
      <c r="B140" s="19" t="s">
        <v>222</v>
      </c>
      <c r="C140" s="20"/>
      <c r="D140" s="20"/>
      <c r="E140" s="21">
        <v>124</v>
      </c>
      <c r="F140" s="18">
        <v>212</v>
      </c>
      <c r="G140" s="14">
        <v>206</v>
      </c>
      <c r="H140" s="14">
        <v>185</v>
      </c>
      <c r="I140" s="14">
        <v>177</v>
      </c>
      <c r="J140" s="14">
        <v>183</v>
      </c>
      <c r="K140" s="14">
        <v>193</v>
      </c>
      <c r="L140" s="14">
        <v>218</v>
      </c>
      <c r="M140" s="14">
        <v>219</v>
      </c>
      <c r="N140" s="14">
        <v>34</v>
      </c>
      <c r="O140" s="15">
        <v>0.1837837837837838</v>
      </c>
      <c r="P140" s="25">
        <v>-0.1650943396226415</v>
      </c>
      <c r="Q140" s="23">
        <v>106</v>
      </c>
      <c r="R140" s="14">
        <v>81</v>
      </c>
      <c r="S140" s="14">
        <v>61</v>
      </c>
      <c r="T140" s="14">
        <v>51</v>
      </c>
      <c r="U140" s="17">
        <v>43</v>
      </c>
      <c r="V140" s="17">
        <v>44</v>
      </c>
      <c r="W140" s="17">
        <v>46</v>
      </c>
      <c r="X140" s="17">
        <v>42</v>
      </c>
      <c r="Y140" s="14">
        <v>-19</v>
      </c>
      <c r="Z140" s="15">
        <v>-0.5188679245283019</v>
      </c>
      <c r="AA140" s="25"/>
      <c r="AB140" s="18">
        <v>279</v>
      </c>
      <c r="AC140" s="14">
        <v>204</v>
      </c>
      <c r="AD140" s="14">
        <v>148</v>
      </c>
      <c r="AE140" s="14">
        <v>119</v>
      </c>
      <c r="AF140" s="14">
        <v>2</v>
      </c>
      <c r="AG140" s="14">
        <v>104</v>
      </c>
      <c r="AH140" s="14">
        <v>103</v>
      </c>
      <c r="AI140" s="14">
        <v>96</v>
      </c>
      <c r="AJ140" s="14">
        <v>-52</v>
      </c>
      <c r="AK140" s="15">
        <v>-0.5734767025089605</v>
      </c>
      <c r="AL140" s="26"/>
      <c r="AM140" s="18">
        <v>758</v>
      </c>
      <c r="AN140" s="14">
        <v>834</v>
      </c>
      <c r="AO140" s="14">
        <v>838</v>
      </c>
      <c r="AP140" s="14">
        <v>871</v>
      </c>
      <c r="AQ140" s="14">
        <v>1006</v>
      </c>
      <c r="AR140" s="14">
        <v>1078</v>
      </c>
      <c r="AS140" s="14">
        <v>1192</v>
      </c>
      <c r="AT140" s="35">
        <v>358</v>
      </c>
      <c r="AU140" s="18">
        <v>36</v>
      </c>
      <c r="AV140" s="14">
        <v>38</v>
      </c>
      <c r="AW140" s="14">
        <v>42</v>
      </c>
      <c r="AX140" s="14">
        <v>52</v>
      </c>
      <c r="AY140" s="14">
        <v>66</v>
      </c>
      <c r="AZ140" s="14">
        <v>64</v>
      </c>
      <c r="BA140" s="14">
        <v>28</v>
      </c>
      <c r="BB140" s="34">
        <v>0.7777777777777778</v>
      </c>
    </row>
    <row r="141" spans="2:54" ht="15" customHeight="1">
      <c r="B141" s="19" t="s">
        <v>223</v>
      </c>
      <c r="C141" s="20">
        <v>1</v>
      </c>
      <c r="D141" s="20" t="s">
        <v>52</v>
      </c>
      <c r="E141" s="22">
        <v>125</v>
      </c>
      <c r="F141" s="18">
        <v>13</v>
      </c>
      <c r="G141" s="14">
        <v>8</v>
      </c>
      <c r="H141" s="14">
        <v>7</v>
      </c>
      <c r="I141" s="14">
        <v>8</v>
      </c>
      <c r="J141" s="14">
        <v>6</v>
      </c>
      <c r="K141" s="14">
        <v>8</v>
      </c>
      <c r="L141" s="14">
        <v>14</v>
      </c>
      <c r="M141" s="14">
        <v>55</v>
      </c>
      <c r="N141" s="14">
        <v>48</v>
      </c>
      <c r="O141" s="15">
        <v>6.857142857142857</v>
      </c>
      <c r="P141" s="25">
        <v>-0.38461538461538464</v>
      </c>
      <c r="Q141" s="23">
        <v>6</v>
      </c>
      <c r="R141" s="14">
        <v>2</v>
      </c>
      <c r="S141" s="14">
        <v>2</v>
      </c>
      <c r="T141" s="14">
        <v>2</v>
      </c>
      <c r="U141" s="17">
        <v>2</v>
      </c>
      <c r="V141" s="17">
        <v>2</v>
      </c>
      <c r="W141" s="17">
        <v>3</v>
      </c>
      <c r="X141" s="17">
        <v>3</v>
      </c>
      <c r="Y141" s="14">
        <v>1</v>
      </c>
      <c r="Z141" s="15">
        <v>-0.6666666666666666</v>
      </c>
      <c r="AA141" s="25"/>
      <c r="AB141" s="18">
        <v>17</v>
      </c>
      <c r="AC141" s="14">
        <v>7</v>
      </c>
      <c r="AD141" s="14">
        <v>5</v>
      </c>
      <c r="AE141" s="14">
        <v>3</v>
      </c>
      <c r="AF141" s="14">
        <v>103</v>
      </c>
      <c r="AG141" s="14">
        <v>2</v>
      </c>
      <c r="AH141" s="14">
        <v>7</v>
      </c>
      <c r="AI141" s="14">
        <v>3</v>
      </c>
      <c r="AJ141" s="14">
        <v>-2</v>
      </c>
      <c r="AK141" s="15">
        <v>-0.8235294117647058</v>
      </c>
      <c r="AL141" s="26"/>
      <c r="AM141" s="18">
        <v>96</v>
      </c>
      <c r="AN141" s="14">
        <v>99</v>
      </c>
      <c r="AO141" s="14">
        <v>110</v>
      </c>
      <c r="AP141" s="14">
        <v>113</v>
      </c>
      <c r="AQ141" s="14">
        <v>130</v>
      </c>
      <c r="AR141" s="14">
        <v>137</v>
      </c>
      <c r="AS141" s="14">
        <v>170</v>
      </c>
      <c r="AT141" s="35">
        <v>71</v>
      </c>
      <c r="AU141" s="18">
        <v>35</v>
      </c>
      <c r="AV141" s="14">
        <v>49</v>
      </c>
      <c r="AW141" s="14">
        <v>52</v>
      </c>
      <c r="AX141" s="14">
        <v>53</v>
      </c>
      <c r="AY141" s="14">
        <v>61</v>
      </c>
      <c r="AZ141" s="14">
        <v>56</v>
      </c>
      <c r="BA141" s="14">
        <v>21</v>
      </c>
      <c r="BB141" s="34">
        <v>0.6</v>
      </c>
    </row>
    <row r="142" spans="2:54" ht="15" customHeight="1">
      <c r="B142" s="19" t="s">
        <v>224</v>
      </c>
      <c r="C142" s="20"/>
      <c r="D142" s="20"/>
      <c r="E142" s="22">
        <v>126</v>
      </c>
      <c r="F142" s="18">
        <v>261</v>
      </c>
      <c r="G142" s="14">
        <v>252</v>
      </c>
      <c r="H142" s="14">
        <v>257</v>
      </c>
      <c r="I142" s="14">
        <v>243</v>
      </c>
      <c r="J142" s="14">
        <v>253</v>
      </c>
      <c r="K142" s="14">
        <v>283</v>
      </c>
      <c r="L142" s="14">
        <v>299</v>
      </c>
      <c r="M142" s="14">
        <v>318</v>
      </c>
      <c r="N142" s="14">
        <v>61</v>
      </c>
      <c r="O142" s="15">
        <v>0.23735408560311283</v>
      </c>
      <c r="P142" s="25">
        <v>-0.06896551724137931</v>
      </c>
      <c r="Q142" s="23">
        <v>134</v>
      </c>
      <c r="R142" s="14">
        <v>103</v>
      </c>
      <c r="S142" s="14">
        <v>82</v>
      </c>
      <c r="T142" s="14">
        <v>63</v>
      </c>
      <c r="U142" s="17">
        <v>65</v>
      </c>
      <c r="V142" s="17">
        <v>60</v>
      </c>
      <c r="W142" s="17">
        <v>57</v>
      </c>
      <c r="X142" s="17">
        <v>63</v>
      </c>
      <c r="Y142" s="14">
        <v>-19</v>
      </c>
      <c r="Z142" s="15">
        <v>-0.5298507462686567</v>
      </c>
      <c r="AA142" s="25"/>
      <c r="AB142" s="18">
        <v>334</v>
      </c>
      <c r="AC142" s="14">
        <v>254</v>
      </c>
      <c r="AD142" s="14">
        <v>186</v>
      </c>
      <c r="AE142" s="14">
        <v>137</v>
      </c>
      <c r="AF142" s="14">
        <v>4</v>
      </c>
      <c r="AG142" s="14">
        <v>134</v>
      </c>
      <c r="AH142" s="14">
        <v>132</v>
      </c>
      <c r="AI142" s="14">
        <v>137</v>
      </c>
      <c r="AJ142" s="14">
        <v>-49</v>
      </c>
      <c r="AK142" s="15">
        <v>-0.5898203592814372</v>
      </c>
      <c r="AL142" s="26"/>
      <c r="AM142" s="18">
        <v>1449</v>
      </c>
      <c r="AN142" s="14">
        <v>1515</v>
      </c>
      <c r="AO142" s="14">
        <v>1609</v>
      </c>
      <c r="AP142" s="14">
        <v>1602</v>
      </c>
      <c r="AQ142" s="14">
        <v>1807</v>
      </c>
      <c r="AR142" s="14">
        <v>2037</v>
      </c>
      <c r="AS142" s="14">
        <v>2196</v>
      </c>
      <c r="AT142" s="35">
        <v>681</v>
      </c>
      <c r="AU142" s="18">
        <v>49</v>
      </c>
      <c r="AV142" s="14">
        <v>64</v>
      </c>
      <c r="AW142" s="14">
        <v>80</v>
      </c>
      <c r="AX142" s="14">
        <v>99</v>
      </c>
      <c r="AY142" s="14">
        <v>105</v>
      </c>
      <c r="AZ142" s="14">
        <v>118</v>
      </c>
      <c r="BA142" s="14">
        <v>69</v>
      </c>
      <c r="BB142" s="34">
        <v>1.4081632653061225</v>
      </c>
    </row>
    <row r="143" spans="2:54" ht="15" customHeight="1">
      <c r="B143" s="19" t="s">
        <v>225</v>
      </c>
      <c r="C143" s="20">
        <v>1</v>
      </c>
      <c r="D143" s="20" t="s">
        <v>52</v>
      </c>
      <c r="E143" s="21">
        <v>127</v>
      </c>
      <c r="F143" s="18">
        <v>7</v>
      </c>
      <c r="G143" s="14">
        <v>5</v>
      </c>
      <c r="H143" s="14">
        <v>8</v>
      </c>
      <c r="I143" s="14">
        <v>7</v>
      </c>
      <c r="J143" s="14">
        <v>4</v>
      </c>
      <c r="K143" s="14">
        <v>6</v>
      </c>
      <c r="L143" s="14">
        <v>6</v>
      </c>
      <c r="M143" s="14">
        <v>7</v>
      </c>
      <c r="N143" s="14">
        <v>-1</v>
      </c>
      <c r="O143" s="15">
        <v>-0.125</v>
      </c>
      <c r="P143" s="25">
        <v>0</v>
      </c>
      <c r="Q143" s="23">
        <v>5</v>
      </c>
      <c r="R143" s="14">
        <v>3</v>
      </c>
      <c r="S143" s="14">
        <v>3</v>
      </c>
      <c r="T143" s="14">
        <v>2</v>
      </c>
      <c r="U143" s="17">
        <v>2</v>
      </c>
      <c r="V143" s="17">
        <v>2</v>
      </c>
      <c r="W143" s="17">
        <v>3</v>
      </c>
      <c r="X143" s="17">
        <v>3</v>
      </c>
      <c r="Y143" s="14">
        <v>0</v>
      </c>
      <c r="Z143" s="15">
        <v>-0.6</v>
      </c>
      <c r="AA143" s="25"/>
      <c r="AB143" s="18">
        <v>12</v>
      </c>
      <c r="AC143" s="14">
        <v>4</v>
      </c>
      <c r="AD143" s="14">
        <v>13</v>
      </c>
      <c r="AE143" s="14">
        <v>11</v>
      </c>
      <c r="AF143" s="14">
        <v>152</v>
      </c>
      <c r="AG143" s="14">
        <v>8</v>
      </c>
      <c r="AH143" s="14">
        <v>8</v>
      </c>
      <c r="AI143" s="14">
        <v>7</v>
      </c>
      <c r="AJ143" s="14">
        <v>-6</v>
      </c>
      <c r="AK143" s="15">
        <v>-0.08333333333333333</v>
      </c>
      <c r="AL143" s="26"/>
      <c r="AM143" s="18">
        <v>35</v>
      </c>
      <c r="AN143" s="14">
        <v>42</v>
      </c>
      <c r="AO143" s="14">
        <v>55</v>
      </c>
      <c r="AP143" s="14">
        <v>76</v>
      </c>
      <c r="AQ143" s="14">
        <v>105</v>
      </c>
      <c r="AR143" s="14">
        <v>131</v>
      </c>
      <c r="AS143" s="14">
        <v>142</v>
      </c>
      <c r="AT143" s="35">
        <v>100</v>
      </c>
      <c r="AU143" s="18">
        <v>2</v>
      </c>
      <c r="AV143" s="14">
        <v>4</v>
      </c>
      <c r="AW143" s="14">
        <v>3</v>
      </c>
      <c r="AX143" s="14">
        <v>3</v>
      </c>
      <c r="AY143" s="14">
        <v>3</v>
      </c>
      <c r="AZ143" s="14">
        <v>2</v>
      </c>
      <c r="BA143" s="14">
        <v>0</v>
      </c>
      <c r="BB143" s="34">
        <v>0</v>
      </c>
    </row>
    <row r="144" spans="2:54" ht="15" customHeight="1">
      <c r="B144" s="19" t="s">
        <v>226</v>
      </c>
      <c r="C144" s="20"/>
      <c r="D144" s="20"/>
      <c r="E144" s="22">
        <v>128</v>
      </c>
      <c r="F144" s="18">
        <v>41</v>
      </c>
      <c r="G144" s="14">
        <v>39</v>
      </c>
      <c r="H144" s="14">
        <v>44</v>
      </c>
      <c r="I144" s="14">
        <v>49</v>
      </c>
      <c r="J144" s="14">
        <v>53</v>
      </c>
      <c r="K144" s="14">
        <v>53</v>
      </c>
      <c r="L144" s="14">
        <v>57</v>
      </c>
      <c r="M144" s="14">
        <v>63</v>
      </c>
      <c r="N144" s="14">
        <v>19</v>
      </c>
      <c r="O144" s="15">
        <v>0.4318181818181818</v>
      </c>
      <c r="P144" s="25">
        <v>0.1951219512195122</v>
      </c>
      <c r="Q144" s="23">
        <v>19</v>
      </c>
      <c r="R144" s="14">
        <v>10</v>
      </c>
      <c r="S144" s="14">
        <v>7</v>
      </c>
      <c r="T144" s="14">
        <v>8</v>
      </c>
      <c r="U144" s="17">
        <v>10</v>
      </c>
      <c r="V144" s="17">
        <v>9</v>
      </c>
      <c r="W144" s="17">
        <v>9</v>
      </c>
      <c r="X144" s="17">
        <v>13</v>
      </c>
      <c r="Y144" s="14">
        <v>6</v>
      </c>
      <c r="Z144" s="15">
        <v>-0.5789473684210527</v>
      </c>
      <c r="AA144" s="25"/>
      <c r="AB144" s="18">
        <v>45</v>
      </c>
      <c r="AC144" s="14">
        <v>21</v>
      </c>
      <c r="AD144" s="14">
        <v>15</v>
      </c>
      <c r="AE144" s="14">
        <v>15</v>
      </c>
      <c r="AF144" s="14">
        <v>8</v>
      </c>
      <c r="AG144" s="14">
        <v>18</v>
      </c>
      <c r="AH144" s="14">
        <v>20</v>
      </c>
      <c r="AI144" s="14">
        <v>23</v>
      </c>
      <c r="AJ144" s="14">
        <v>8</v>
      </c>
      <c r="AK144" s="15">
        <v>-0.6666666666666666</v>
      </c>
      <c r="AL144" s="26"/>
      <c r="AM144" s="18">
        <v>367</v>
      </c>
      <c r="AN144" s="14">
        <v>372</v>
      </c>
      <c r="AO144" s="14">
        <v>396</v>
      </c>
      <c r="AP144" s="14">
        <v>424</v>
      </c>
      <c r="AQ144" s="14">
        <v>487</v>
      </c>
      <c r="AR144" s="14">
        <v>577</v>
      </c>
      <c r="AS144" s="14">
        <v>618</v>
      </c>
      <c r="AT144" s="35">
        <v>246</v>
      </c>
      <c r="AU144" s="18">
        <v>12</v>
      </c>
      <c r="AV144" s="14">
        <v>13</v>
      </c>
      <c r="AW144" s="14">
        <v>22</v>
      </c>
      <c r="AX144" s="14">
        <v>24</v>
      </c>
      <c r="AY144" s="14">
        <v>28</v>
      </c>
      <c r="AZ144" s="14">
        <v>32</v>
      </c>
      <c r="BA144" s="14">
        <v>20</v>
      </c>
      <c r="BB144" s="34">
        <v>1.6666666666666667</v>
      </c>
    </row>
    <row r="145" spans="2:54" ht="15" customHeight="1">
      <c r="B145" s="19" t="s">
        <v>227</v>
      </c>
      <c r="C145" s="20"/>
      <c r="D145" s="20"/>
      <c r="E145" s="22">
        <v>129</v>
      </c>
      <c r="F145" s="18">
        <v>41</v>
      </c>
      <c r="G145" s="14">
        <v>35</v>
      </c>
      <c r="H145" s="14">
        <v>32</v>
      </c>
      <c r="I145" s="14">
        <v>27</v>
      </c>
      <c r="J145" s="14">
        <v>25</v>
      </c>
      <c r="K145" s="14">
        <v>35</v>
      </c>
      <c r="L145" s="14">
        <v>42</v>
      </c>
      <c r="M145" s="14">
        <v>49</v>
      </c>
      <c r="N145" s="14">
        <v>17</v>
      </c>
      <c r="O145" s="15">
        <v>0.53125</v>
      </c>
      <c r="P145" s="25">
        <v>-0.34146341463414637</v>
      </c>
      <c r="Q145" s="23">
        <v>22</v>
      </c>
      <c r="R145" s="14">
        <v>14</v>
      </c>
      <c r="S145" s="14">
        <v>13</v>
      </c>
      <c r="T145" s="14">
        <v>10</v>
      </c>
      <c r="U145" s="17">
        <v>6</v>
      </c>
      <c r="V145" s="17">
        <v>8</v>
      </c>
      <c r="W145" s="17">
        <v>9</v>
      </c>
      <c r="X145" s="17">
        <v>12</v>
      </c>
      <c r="Y145" s="14">
        <v>-1</v>
      </c>
      <c r="Z145" s="15">
        <v>-0.5454545454545454</v>
      </c>
      <c r="AA145" s="25"/>
      <c r="AB145" s="18">
        <v>58</v>
      </c>
      <c r="AC145" s="14">
        <v>34</v>
      </c>
      <c r="AD145" s="14">
        <v>28</v>
      </c>
      <c r="AE145" s="14">
        <v>21</v>
      </c>
      <c r="AF145" s="14">
        <v>17</v>
      </c>
      <c r="AG145" s="14">
        <v>20</v>
      </c>
      <c r="AH145" s="14">
        <v>23</v>
      </c>
      <c r="AI145" s="14">
        <v>25</v>
      </c>
      <c r="AJ145" s="14">
        <v>-3</v>
      </c>
      <c r="AK145" s="15">
        <v>-0.6379310344827587</v>
      </c>
      <c r="AL145" s="26"/>
      <c r="AM145" s="18">
        <v>199</v>
      </c>
      <c r="AN145" s="14">
        <v>199</v>
      </c>
      <c r="AO145" s="14">
        <v>216</v>
      </c>
      <c r="AP145" s="14">
        <v>219</v>
      </c>
      <c r="AQ145" s="14">
        <v>229</v>
      </c>
      <c r="AR145" s="14">
        <v>253</v>
      </c>
      <c r="AS145" s="14">
        <v>296</v>
      </c>
      <c r="AT145" s="35">
        <v>97</v>
      </c>
      <c r="AU145" s="18">
        <v>5</v>
      </c>
      <c r="AV145" s="14">
        <v>6</v>
      </c>
      <c r="AW145" s="14">
        <v>8</v>
      </c>
      <c r="AX145" s="14">
        <v>13</v>
      </c>
      <c r="AY145" s="14">
        <v>17</v>
      </c>
      <c r="AZ145" s="14">
        <v>22</v>
      </c>
      <c r="BA145" s="14">
        <v>17</v>
      </c>
      <c r="BB145" s="34">
        <v>3.4</v>
      </c>
    </row>
    <row r="146" spans="2:54" ht="15" customHeight="1">
      <c r="B146" s="19" t="s">
        <v>228</v>
      </c>
      <c r="C146" s="20"/>
      <c r="D146" s="20"/>
      <c r="E146" s="22">
        <v>132</v>
      </c>
      <c r="F146" s="18">
        <v>89</v>
      </c>
      <c r="G146" s="14">
        <v>80</v>
      </c>
      <c r="H146" s="14">
        <v>82</v>
      </c>
      <c r="I146" s="14">
        <v>81</v>
      </c>
      <c r="J146" s="14">
        <v>76</v>
      </c>
      <c r="K146" s="14">
        <v>78</v>
      </c>
      <c r="L146" s="14">
        <v>90</v>
      </c>
      <c r="M146" s="14">
        <v>120</v>
      </c>
      <c r="N146" s="14">
        <v>38</v>
      </c>
      <c r="O146" s="15">
        <v>0.4634146341463415</v>
      </c>
      <c r="P146" s="25">
        <v>-0.0898876404494382</v>
      </c>
      <c r="Q146" s="23">
        <v>48</v>
      </c>
      <c r="R146" s="14">
        <v>36</v>
      </c>
      <c r="S146" s="14">
        <v>26</v>
      </c>
      <c r="T146" s="14">
        <v>29</v>
      </c>
      <c r="U146" s="17">
        <v>25</v>
      </c>
      <c r="V146" s="17">
        <v>19</v>
      </c>
      <c r="W146" s="17">
        <v>17</v>
      </c>
      <c r="X146" s="17">
        <v>19</v>
      </c>
      <c r="Y146" s="14">
        <v>-7</v>
      </c>
      <c r="Z146" s="15">
        <v>-0.3958333333333333</v>
      </c>
      <c r="AA146" s="25"/>
      <c r="AB146" s="18">
        <v>114</v>
      </c>
      <c r="AC146" s="14">
        <v>83</v>
      </c>
      <c r="AD146" s="14">
        <v>56</v>
      </c>
      <c r="AE146" s="14">
        <v>62</v>
      </c>
      <c r="AF146" s="14">
        <v>12</v>
      </c>
      <c r="AG146" s="14">
        <v>39</v>
      </c>
      <c r="AH146" s="14">
        <v>33</v>
      </c>
      <c r="AI146" s="14">
        <v>35</v>
      </c>
      <c r="AJ146" s="14">
        <v>-21</v>
      </c>
      <c r="AK146" s="15">
        <v>-0.45614035087719296</v>
      </c>
      <c r="AL146" s="26"/>
      <c r="AM146" s="18">
        <v>476</v>
      </c>
      <c r="AN146" s="14">
        <v>536</v>
      </c>
      <c r="AO146" s="14">
        <v>551</v>
      </c>
      <c r="AP146" s="14">
        <v>611</v>
      </c>
      <c r="AQ146" s="14">
        <v>706</v>
      </c>
      <c r="AR146" s="14">
        <v>791</v>
      </c>
      <c r="AS146" s="14">
        <v>851</v>
      </c>
      <c r="AT146" s="35">
        <v>315</v>
      </c>
      <c r="AU146" s="18">
        <v>25</v>
      </c>
      <c r="AV146" s="14">
        <v>33</v>
      </c>
      <c r="AW146" s="14">
        <v>33</v>
      </c>
      <c r="AX146" s="14">
        <v>39</v>
      </c>
      <c r="AY146" s="14">
        <v>53</v>
      </c>
      <c r="AZ146" s="14">
        <v>57</v>
      </c>
      <c r="BA146" s="14">
        <v>32</v>
      </c>
      <c r="BB146" s="34">
        <v>1.28</v>
      </c>
    </row>
    <row r="147" spans="2:54" ht="15" customHeight="1">
      <c r="B147" s="19" t="s">
        <v>229</v>
      </c>
      <c r="C147" s="20"/>
      <c r="D147" s="20"/>
      <c r="E147" s="21">
        <v>130</v>
      </c>
      <c r="F147" s="18">
        <v>29</v>
      </c>
      <c r="G147" s="14">
        <v>33</v>
      </c>
      <c r="H147" s="14">
        <v>37</v>
      </c>
      <c r="I147" s="14">
        <v>38</v>
      </c>
      <c r="J147" s="14">
        <v>37</v>
      </c>
      <c r="K147" s="14">
        <v>44</v>
      </c>
      <c r="L147" s="14">
        <v>46</v>
      </c>
      <c r="M147" s="14">
        <v>52</v>
      </c>
      <c r="N147" s="14">
        <v>15</v>
      </c>
      <c r="O147" s="15">
        <v>0.40540540540540543</v>
      </c>
      <c r="P147" s="25">
        <v>0.3103448275862069</v>
      </c>
      <c r="Q147" s="23">
        <v>19</v>
      </c>
      <c r="R147" s="14">
        <v>15</v>
      </c>
      <c r="S147" s="14">
        <v>14</v>
      </c>
      <c r="T147" s="14">
        <v>14</v>
      </c>
      <c r="U147" s="17">
        <v>11</v>
      </c>
      <c r="V147" s="17">
        <v>11</v>
      </c>
      <c r="W147" s="17">
        <v>14</v>
      </c>
      <c r="X147" s="17">
        <v>12</v>
      </c>
      <c r="Y147" s="14">
        <v>-2</v>
      </c>
      <c r="Z147" s="15">
        <v>-0.2631578947368421</v>
      </c>
      <c r="AA147" s="25"/>
      <c r="AB147" s="18">
        <v>45</v>
      </c>
      <c r="AC147" s="14">
        <v>32</v>
      </c>
      <c r="AD147" s="14">
        <v>29</v>
      </c>
      <c r="AE147" s="14">
        <v>26</v>
      </c>
      <c r="AF147" s="14">
        <v>54</v>
      </c>
      <c r="AG147" s="14">
        <v>20</v>
      </c>
      <c r="AH147" s="14">
        <v>28</v>
      </c>
      <c r="AI147" s="14">
        <v>23</v>
      </c>
      <c r="AJ147" s="14">
        <v>-6</v>
      </c>
      <c r="AK147" s="15">
        <v>-0.4222222222222222</v>
      </c>
      <c r="AL147" s="26"/>
      <c r="AM147" s="18">
        <v>794</v>
      </c>
      <c r="AN147" s="14">
        <v>979</v>
      </c>
      <c r="AO147" s="14">
        <v>1075</v>
      </c>
      <c r="AP147" s="14">
        <v>1082</v>
      </c>
      <c r="AQ147" s="14">
        <v>1108</v>
      </c>
      <c r="AR147" s="14">
        <v>1196</v>
      </c>
      <c r="AS147" s="14">
        <v>1187</v>
      </c>
      <c r="AT147" s="35">
        <v>208</v>
      </c>
      <c r="AU147" s="18">
        <v>12</v>
      </c>
      <c r="AV147" s="14">
        <v>20</v>
      </c>
      <c r="AW147" s="14">
        <v>18</v>
      </c>
      <c r="AX147" s="14">
        <v>17</v>
      </c>
      <c r="AY147" s="14">
        <v>16</v>
      </c>
      <c r="AZ147" s="14">
        <v>26</v>
      </c>
      <c r="BA147" s="14">
        <v>14</v>
      </c>
      <c r="BB147" s="34">
        <v>1.1666666666666667</v>
      </c>
    </row>
    <row r="148" spans="2:54" ht="15" customHeight="1">
      <c r="B148" s="19" t="s">
        <v>230</v>
      </c>
      <c r="C148" s="20"/>
      <c r="D148" s="20"/>
      <c r="E148" s="22">
        <v>131</v>
      </c>
      <c r="F148" s="18">
        <v>340</v>
      </c>
      <c r="G148" s="14">
        <v>292</v>
      </c>
      <c r="H148" s="14">
        <v>289</v>
      </c>
      <c r="I148" s="14">
        <v>291</v>
      </c>
      <c r="J148" s="14">
        <v>299</v>
      </c>
      <c r="K148" s="14">
        <v>304</v>
      </c>
      <c r="L148" s="14">
        <v>337</v>
      </c>
      <c r="M148" s="14">
        <v>385</v>
      </c>
      <c r="N148" s="14">
        <v>96</v>
      </c>
      <c r="O148" s="15">
        <v>0.33217993079584773</v>
      </c>
      <c r="P148" s="25">
        <v>-0.14411764705882352</v>
      </c>
      <c r="Q148" s="23">
        <v>171</v>
      </c>
      <c r="R148" s="14">
        <v>95</v>
      </c>
      <c r="S148" s="14">
        <v>83</v>
      </c>
      <c r="T148" s="14">
        <v>78</v>
      </c>
      <c r="U148" s="17">
        <v>82</v>
      </c>
      <c r="V148" s="17">
        <v>83</v>
      </c>
      <c r="W148" s="17">
        <v>78</v>
      </c>
      <c r="X148" s="17">
        <v>72</v>
      </c>
      <c r="Y148" s="14">
        <v>-11</v>
      </c>
      <c r="Z148" s="15">
        <v>-0.543859649122807</v>
      </c>
      <c r="AA148" s="25"/>
      <c r="AB148" s="18">
        <v>437</v>
      </c>
      <c r="AC148" s="14">
        <v>216</v>
      </c>
      <c r="AD148" s="14">
        <v>181</v>
      </c>
      <c r="AE148" s="14">
        <v>171</v>
      </c>
      <c r="AF148" s="14">
        <v>18</v>
      </c>
      <c r="AG148" s="14">
        <v>176</v>
      </c>
      <c r="AH148" s="14">
        <v>156</v>
      </c>
      <c r="AI148" s="14">
        <v>136</v>
      </c>
      <c r="AJ148" s="14">
        <v>-45</v>
      </c>
      <c r="AK148" s="15">
        <v>-0.6086956521739131</v>
      </c>
      <c r="AL148" s="26"/>
      <c r="AM148" s="18">
        <v>1527</v>
      </c>
      <c r="AN148" s="14">
        <v>1550</v>
      </c>
      <c r="AO148" s="14">
        <v>1667</v>
      </c>
      <c r="AP148" s="14">
        <v>1756</v>
      </c>
      <c r="AQ148" s="14">
        <v>1925</v>
      </c>
      <c r="AR148" s="14">
        <v>2074</v>
      </c>
      <c r="AS148" s="14">
        <v>2166</v>
      </c>
      <c r="AT148" s="35">
        <v>616</v>
      </c>
      <c r="AU148" s="18">
        <v>70</v>
      </c>
      <c r="AV148" s="14">
        <v>82</v>
      </c>
      <c r="AW148" s="14">
        <v>87</v>
      </c>
      <c r="AX148" s="14">
        <v>112</v>
      </c>
      <c r="AY148" s="14">
        <v>102</v>
      </c>
      <c r="AZ148" s="14">
        <v>125</v>
      </c>
      <c r="BA148" s="14">
        <v>55</v>
      </c>
      <c r="BB148" s="34">
        <v>0.7857142857142857</v>
      </c>
    </row>
    <row r="149" spans="2:54" ht="15" customHeight="1">
      <c r="B149" s="19" t="s">
        <v>231</v>
      </c>
      <c r="C149" s="20">
        <v>1</v>
      </c>
      <c r="D149" s="20" t="s">
        <v>47</v>
      </c>
      <c r="E149" s="21">
        <v>133</v>
      </c>
      <c r="F149" s="18">
        <v>44</v>
      </c>
      <c r="G149" s="14">
        <v>47</v>
      </c>
      <c r="H149" s="14">
        <v>43</v>
      </c>
      <c r="I149" s="14">
        <v>47</v>
      </c>
      <c r="J149" s="14">
        <v>46</v>
      </c>
      <c r="K149" s="14">
        <v>58</v>
      </c>
      <c r="L149" s="14">
        <v>57</v>
      </c>
      <c r="M149" s="14">
        <v>65</v>
      </c>
      <c r="N149" s="14">
        <v>22</v>
      </c>
      <c r="O149" s="15">
        <v>0.5116279069767442</v>
      </c>
      <c r="P149" s="25">
        <v>0.06818181818181818</v>
      </c>
      <c r="Q149" s="23">
        <v>23</v>
      </c>
      <c r="R149" s="14">
        <v>17</v>
      </c>
      <c r="S149" s="14">
        <v>19</v>
      </c>
      <c r="T149" s="14">
        <v>22</v>
      </c>
      <c r="U149" s="17">
        <v>17</v>
      </c>
      <c r="V149" s="17">
        <v>18</v>
      </c>
      <c r="W149" s="17">
        <v>14</v>
      </c>
      <c r="X149" s="17">
        <v>15</v>
      </c>
      <c r="Y149" s="14">
        <v>-4</v>
      </c>
      <c r="Z149" s="15">
        <v>-0.043478260869565216</v>
      </c>
      <c r="AA149" s="25"/>
      <c r="AB149" s="18">
        <v>59</v>
      </c>
      <c r="AC149" s="14">
        <v>38</v>
      </c>
      <c r="AD149" s="14">
        <v>45</v>
      </c>
      <c r="AE149" s="14">
        <v>54</v>
      </c>
      <c r="AF149" s="14">
        <v>183</v>
      </c>
      <c r="AG149" s="14">
        <v>40</v>
      </c>
      <c r="AH149" s="14">
        <v>32</v>
      </c>
      <c r="AI149" s="14">
        <v>31</v>
      </c>
      <c r="AJ149" s="14">
        <v>-14</v>
      </c>
      <c r="AK149" s="15">
        <v>-0.0847457627118644</v>
      </c>
      <c r="AL149" s="26"/>
      <c r="AM149" s="18">
        <v>235</v>
      </c>
      <c r="AN149" s="14">
        <v>258</v>
      </c>
      <c r="AO149" s="14">
        <v>265</v>
      </c>
      <c r="AP149" s="14">
        <v>292</v>
      </c>
      <c r="AQ149" s="14">
        <v>302</v>
      </c>
      <c r="AR149" s="14">
        <v>330</v>
      </c>
      <c r="AS149" s="14">
        <v>329</v>
      </c>
      <c r="AT149" s="35">
        <v>71</v>
      </c>
      <c r="AU149" s="18">
        <v>9</v>
      </c>
      <c r="AV149" s="14">
        <v>10</v>
      </c>
      <c r="AW149" s="14">
        <v>11</v>
      </c>
      <c r="AX149" s="14">
        <v>16</v>
      </c>
      <c r="AY149" s="14">
        <v>19</v>
      </c>
      <c r="AZ149" s="14">
        <v>24</v>
      </c>
      <c r="BA149" s="14">
        <v>15</v>
      </c>
      <c r="BB149" s="34">
        <v>1.6666666666666667</v>
      </c>
    </row>
    <row r="150" spans="2:54" ht="15" customHeight="1">
      <c r="B150" s="19" t="s">
        <v>232</v>
      </c>
      <c r="C150" s="20"/>
      <c r="D150" s="20"/>
      <c r="E150" s="22">
        <v>134</v>
      </c>
      <c r="F150" s="18">
        <v>171</v>
      </c>
      <c r="G150" s="14">
        <v>162</v>
      </c>
      <c r="H150" s="14">
        <v>141</v>
      </c>
      <c r="I150" s="14">
        <v>131</v>
      </c>
      <c r="J150" s="14">
        <v>133</v>
      </c>
      <c r="K150" s="14">
        <v>131</v>
      </c>
      <c r="L150" s="14">
        <v>140</v>
      </c>
      <c r="M150" s="14">
        <v>162</v>
      </c>
      <c r="N150" s="14">
        <v>21</v>
      </c>
      <c r="O150" s="15">
        <v>0.14893617021276595</v>
      </c>
      <c r="P150" s="25">
        <v>-0.23391812865497075</v>
      </c>
      <c r="Q150" s="23">
        <v>98</v>
      </c>
      <c r="R150" s="14">
        <v>68</v>
      </c>
      <c r="S150" s="14">
        <v>51</v>
      </c>
      <c r="T150" s="14">
        <v>39</v>
      </c>
      <c r="U150" s="17">
        <v>46</v>
      </c>
      <c r="V150" s="17">
        <v>41</v>
      </c>
      <c r="W150" s="17">
        <v>42</v>
      </c>
      <c r="X150" s="17">
        <v>43</v>
      </c>
      <c r="Y150" s="14">
        <v>-8</v>
      </c>
      <c r="Z150" s="15">
        <v>-0.6020408163265306</v>
      </c>
      <c r="AA150" s="25"/>
      <c r="AB150" s="18">
        <v>255</v>
      </c>
      <c r="AC150" s="14">
        <v>159</v>
      </c>
      <c r="AD150" s="14">
        <v>127</v>
      </c>
      <c r="AE150" s="14">
        <v>85</v>
      </c>
      <c r="AF150" s="14">
        <v>34</v>
      </c>
      <c r="AG150" s="14">
        <v>82</v>
      </c>
      <c r="AH150" s="14">
        <v>90</v>
      </c>
      <c r="AI150" s="14">
        <v>92</v>
      </c>
      <c r="AJ150" s="14">
        <v>-35</v>
      </c>
      <c r="AK150" s="15">
        <v>-0.6666666666666666</v>
      </c>
      <c r="AL150" s="26"/>
      <c r="AM150" s="18">
        <v>779</v>
      </c>
      <c r="AN150" s="14">
        <v>773</v>
      </c>
      <c r="AO150" s="14">
        <v>790</v>
      </c>
      <c r="AP150" s="14">
        <v>801</v>
      </c>
      <c r="AQ150" s="14">
        <v>915</v>
      </c>
      <c r="AR150" s="14">
        <v>996</v>
      </c>
      <c r="AS150" s="14">
        <v>1054</v>
      </c>
      <c r="AT150" s="35">
        <v>281</v>
      </c>
      <c r="AU150" s="18">
        <v>27</v>
      </c>
      <c r="AV150" s="14">
        <v>31</v>
      </c>
      <c r="AW150" s="14">
        <v>34</v>
      </c>
      <c r="AX150" s="14">
        <v>38</v>
      </c>
      <c r="AY150" s="14">
        <v>44</v>
      </c>
      <c r="AZ150" s="14">
        <v>45</v>
      </c>
      <c r="BA150" s="14">
        <v>18</v>
      </c>
      <c r="BB150" s="34">
        <v>0.6666666666666666</v>
      </c>
    </row>
    <row r="151" spans="2:54" ht="15" customHeight="1">
      <c r="B151" s="19" t="s">
        <v>233</v>
      </c>
      <c r="C151" s="20" t="s">
        <v>63</v>
      </c>
      <c r="D151" s="20"/>
      <c r="E151" s="22">
        <v>135</v>
      </c>
      <c r="F151" s="18">
        <v>2286</v>
      </c>
      <c r="G151" s="14">
        <v>1975</v>
      </c>
      <c r="H151" s="14">
        <v>1839</v>
      </c>
      <c r="I151" s="14">
        <v>1710</v>
      </c>
      <c r="J151" s="14">
        <v>1709</v>
      </c>
      <c r="K151" s="14">
        <v>1775</v>
      </c>
      <c r="L151" s="14">
        <v>1952</v>
      </c>
      <c r="M151" s="14">
        <v>2188</v>
      </c>
      <c r="N151" s="14">
        <v>349</v>
      </c>
      <c r="O151" s="15">
        <v>0.18977705274605763</v>
      </c>
      <c r="P151" s="25">
        <v>-0.25196850393700787</v>
      </c>
      <c r="Q151" s="23">
        <v>1254</v>
      </c>
      <c r="R151" s="14">
        <v>785</v>
      </c>
      <c r="S151" s="14">
        <v>575</v>
      </c>
      <c r="T151" s="14">
        <v>493</v>
      </c>
      <c r="U151" s="17">
        <v>417</v>
      </c>
      <c r="V151" s="17">
        <v>375</v>
      </c>
      <c r="W151" s="17">
        <v>342</v>
      </c>
      <c r="X151" s="17">
        <v>342</v>
      </c>
      <c r="Y151" s="14">
        <v>-233</v>
      </c>
      <c r="Z151" s="15">
        <v>-0.6068580542264753</v>
      </c>
      <c r="AA151" s="25"/>
      <c r="AB151" s="18">
        <v>3111</v>
      </c>
      <c r="AC151" s="14">
        <v>1761</v>
      </c>
      <c r="AD151" s="14">
        <v>1182</v>
      </c>
      <c r="AE151" s="14">
        <v>977</v>
      </c>
      <c r="AF151" s="14">
        <v>100</v>
      </c>
      <c r="AG151" s="14">
        <v>724</v>
      </c>
      <c r="AH151" s="14">
        <v>645</v>
      </c>
      <c r="AI151" s="14">
        <v>663</v>
      </c>
      <c r="AJ151" s="14">
        <v>-519</v>
      </c>
      <c r="AK151" s="15">
        <v>-0.6859530697524912</v>
      </c>
      <c r="AL151" s="26"/>
      <c r="AM151" s="18">
        <v>8468</v>
      </c>
      <c r="AN151" s="14">
        <v>8571</v>
      </c>
      <c r="AO151" s="14">
        <v>8599</v>
      </c>
      <c r="AP151" s="14">
        <v>8617</v>
      </c>
      <c r="AQ151" s="14">
        <v>9646</v>
      </c>
      <c r="AR151" s="14">
        <v>10502</v>
      </c>
      <c r="AS151" s="14">
        <v>10855</v>
      </c>
      <c r="AT151" s="35">
        <v>2284</v>
      </c>
      <c r="AU151" s="18">
        <v>455</v>
      </c>
      <c r="AV151" s="14">
        <v>447</v>
      </c>
      <c r="AW151" s="14">
        <v>455</v>
      </c>
      <c r="AX151" s="14">
        <v>534</v>
      </c>
      <c r="AY151" s="14">
        <v>620</v>
      </c>
      <c r="AZ151" s="14">
        <v>707</v>
      </c>
      <c r="BA151" s="14">
        <v>252</v>
      </c>
      <c r="BB151" s="34">
        <v>0.5538461538461539</v>
      </c>
    </row>
    <row r="152" spans="2:54" ht="15" customHeight="1">
      <c r="B152" s="19" t="s">
        <v>234</v>
      </c>
      <c r="C152" s="20">
        <v>1</v>
      </c>
      <c r="D152" s="20" t="s">
        <v>47</v>
      </c>
      <c r="E152" s="21">
        <v>136</v>
      </c>
      <c r="F152" s="18">
        <v>35</v>
      </c>
      <c r="G152" s="14">
        <v>35</v>
      </c>
      <c r="H152" s="14">
        <v>28</v>
      </c>
      <c r="I152" s="14">
        <v>27</v>
      </c>
      <c r="J152" s="14">
        <v>33</v>
      </c>
      <c r="K152" s="14">
        <v>47</v>
      </c>
      <c r="L152" s="14">
        <v>52</v>
      </c>
      <c r="M152" s="14">
        <v>48</v>
      </c>
      <c r="N152" s="14">
        <v>20</v>
      </c>
      <c r="O152" s="15">
        <v>0.7142857142857143</v>
      </c>
      <c r="P152" s="25">
        <v>-0.22857142857142856</v>
      </c>
      <c r="Q152" s="23">
        <v>20</v>
      </c>
      <c r="R152" s="14">
        <v>22</v>
      </c>
      <c r="S152" s="14">
        <v>15</v>
      </c>
      <c r="T152" s="14">
        <v>9</v>
      </c>
      <c r="U152" s="17">
        <v>11</v>
      </c>
      <c r="V152" s="17">
        <v>15</v>
      </c>
      <c r="W152" s="17">
        <v>18</v>
      </c>
      <c r="X152" s="17">
        <v>11</v>
      </c>
      <c r="Y152" s="14">
        <v>-4</v>
      </c>
      <c r="Z152" s="15">
        <v>-0.55</v>
      </c>
      <c r="AA152" s="25"/>
      <c r="AB152" s="18">
        <v>49</v>
      </c>
      <c r="AC152" s="14">
        <v>49</v>
      </c>
      <c r="AD152" s="14">
        <v>26</v>
      </c>
      <c r="AE152" s="14">
        <v>16</v>
      </c>
      <c r="AF152" s="14">
        <v>807</v>
      </c>
      <c r="AG152" s="14">
        <v>26</v>
      </c>
      <c r="AH152" s="14">
        <v>37</v>
      </c>
      <c r="AI152" s="14">
        <v>20</v>
      </c>
      <c r="AJ152" s="14">
        <v>-6</v>
      </c>
      <c r="AK152" s="15">
        <v>-0.673469387755102</v>
      </c>
      <c r="AL152" s="26"/>
      <c r="AM152" s="18">
        <v>169</v>
      </c>
      <c r="AN152" s="14">
        <v>184</v>
      </c>
      <c r="AO152" s="14">
        <v>187</v>
      </c>
      <c r="AP152" s="14">
        <v>201</v>
      </c>
      <c r="AQ152" s="14">
        <v>236</v>
      </c>
      <c r="AR152" s="14">
        <v>293</v>
      </c>
      <c r="AS152" s="14">
        <v>323</v>
      </c>
      <c r="AT152" s="35">
        <v>139</v>
      </c>
      <c r="AU152" s="18">
        <v>3</v>
      </c>
      <c r="AV152" s="14">
        <v>7</v>
      </c>
      <c r="AW152" s="14">
        <v>7</v>
      </c>
      <c r="AX152" s="14">
        <v>11</v>
      </c>
      <c r="AY152" s="14">
        <v>14</v>
      </c>
      <c r="AZ152" s="14">
        <v>15</v>
      </c>
      <c r="BA152" s="14">
        <v>12</v>
      </c>
      <c r="BB152" s="34">
        <v>4</v>
      </c>
    </row>
    <row r="153" spans="2:54" ht="15" customHeight="1">
      <c r="B153" s="19" t="s">
        <v>235</v>
      </c>
      <c r="C153" s="20"/>
      <c r="D153" s="20"/>
      <c r="E153" s="22">
        <v>137</v>
      </c>
      <c r="F153" s="18">
        <v>218</v>
      </c>
      <c r="G153" s="14">
        <v>221</v>
      </c>
      <c r="H153" s="14">
        <v>212</v>
      </c>
      <c r="I153" s="14">
        <v>198</v>
      </c>
      <c r="J153" s="14">
        <v>212</v>
      </c>
      <c r="K153" s="14">
        <v>209</v>
      </c>
      <c r="L153" s="14">
        <v>245</v>
      </c>
      <c r="M153" s="14">
        <v>270</v>
      </c>
      <c r="N153" s="14">
        <v>58</v>
      </c>
      <c r="O153" s="15">
        <v>0.27358490566037735</v>
      </c>
      <c r="P153" s="25">
        <v>-0.09174311926605505</v>
      </c>
      <c r="Q153" s="23">
        <v>95</v>
      </c>
      <c r="R153" s="14">
        <v>83</v>
      </c>
      <c r="S153" s="14">
        <v>67</v>
      </c>
      <c r="T153" s="14">
        <v>58</v>
      </c>
      <c r="U153" s="17">
        <v>53</v>
      </c>
      <c r="V153" s="17">
        <v>52</v>
      </c>
      <c r="W153" s="17">
        <v>53</v>
      </c>
      <c r="X153" s="17">
        <v>53</v>
      </c>
      <c r="Y153" s="14">
        <v>-14</v>
      </c>
      <c r="Z153" s="15">
        <v>-0.3894736842105263</v>
      </c>
      <c r="AA153" s="25"/>
      <c r="AB153" s="18">
        <v>248</v>
      </c>
      <c r="AC153" s="14">
        <v>208</v>
      </c>
      <c r="AD153" s="14">
        <v>145</v>
      </c>
      <c r="AE153" s="14">
        <v>126</v>
      </c>
      <c r="AF153" s="14">
        <v>18</v>
      </c>
      <c r="AG153" s="14">
        <v>121</v>
      </c>
      <c r="AH153" s="14">
        <v>126</v>
      </c>
      <c r="AI153" s="14">
        <v>121</v>
      </c>
      <c r="AJ153" s="14">
        <v>-24</v>
      </c>
      <c r="AK153" s="15">
        <v>-0.49193548387096775</v>
      </c>
      <c r="AL153" s="26"/>
      <c r="AM153" s="18">
        <v>1001</v>
      </c>
      <c r="AN153" s="14">
        <v>1081</v>
      </c>
      <c r="AO153" s="14">
        <v>1181</v>
      </c>
      <c r="AP153" s="14">
        <v>1234</v>
      </c>
      <c r="AQ153" s="14">
        <v>1415</v>
      </c>
      <c r="AR153" s="14">
        <v>1485</v>
      </c>
      <c r="AS153" s="14">
        <v>1633</v>
      </c>
      <c r="AT153" s="35">
        <v>552</v>
      </c>
      <c r="AU153" s="18">
        <v>48</v>
      </c>
      <c r="AV153" s="14">
        <v>54</v>
      </c>
      <c r="AW153" s="14">
        <v>56</v>
      </c>
      <c r="AX153" s="14">
        <v>59</v>
      </c>
      <c r="AY153" s="14">
        <v>65</v>
      </c>
      <c r="AZ153" s="14">
        <v>72</v>
      </c>
      <c r="BA153" s="14">
        <v>24</v>
      </c>
      <c r="BB153" s="34">
        <v>0.5</v>
      </c>
    </row>
    <row r="154" spans="2:54" ht="15" customHeight="1">
      <c r="B154" s="19" t="s">
        <v>0</v>
      </c>
      <c r="C154" s="20"/>
      <c r="D154" s="20"/>
      <c r="E154" s="22">
        <v>138</v>
      </c>
      <c r="F154" s="18">
        <v>608</v>
      </c>
      <c r="G154" s="14">
        <v>578</v>
      </c>
      <c r="H154" s="14">
        <v>548</v>
      </c>
      <c r="I154" s="14">
        <v>507</v>
      </c>
      <c r="J154" s="14">
        <v>540</v>
      </c>
      <c r="K154" s="14">
        <v>583</v>
      </c>
      <c r="L154" s="14">
        <v>700</v>
      </c>
      <c r="M154" s="14">
        <v>773</v>
      </c>
      <c r="N154" s="14">
        <v>225</v>
      </c>
      <c r="O154" s="15">
        <v>0.41058394160583944</v>
      </c>
      <c r="P154" s="25">
        <v>-0.16611842105263158</v>
      </c>
      <c r="Q154" s="23">
        <v>392</v>
      </c>
      <c r="R154" s="14">
        <v>290</v>
      </c>
      <c r="S154" s="14">
        <v>217</v>
      </c>
      <c r="T154" s="14">
        <v>191</v>
      </c>
      <c r="U154" s="17">
        <v>178</v>
      </c>
      <c r="V154" s="17">
        <v>178</v>
      </c>
      <c r="W154" s="17">
        <v>202</v>
      </c>
      <c r="X154" s="17">
        <v>192</v>
      </c>
      <c r="Y154" s="14">
        <v>-25</v>
      </c>
      <c r="Z154" s="15">
        <v>-0.5127551020408163</v>
      </c>
      <c r="AA154" s="25"/>
      <c r="AB154" s="18">
        <v>990</v>
      </c>
      <c r="AC154" s="14">
        <v>676</v>
      </c>
      <c r="AD154" s="14">
        <v>458</v>
      </c>
      <c r="AE154" s="14">
        <v>376</v>
      </c>
      <c r="AF154" s="14">
        <v>122</v>
      </c>
      <c r="AG154" s="14">
        <v>385</v>
      </c>
      <c r="AH154" s="14">
        <v>430</v>
      </c>
      <c r="AI154" s="14">
        <v>382</v>
      </c>
      <c r="AJ154" s="14">
        <v>-76</v>
      </c>
      <c r="AK154" s="15">
        <v>-0.6202020202020202</v>
      </c>
      <c r="AL154" s="26"/>
      <c r="AM154" s="18">
        <v>2682</v>
      </c>
      <c r="AN154" s="14">
        <v>2828</v>
      </c>
      <c r="AO154" s="14">
        <v>3001</v>
      </c>
      <c r="AP154" s="14">
        <v>3097</v>
      </c>
      <c r="AQ154" s="14">
        <v>3582</v>
      </c>
      <c r="AR154" s="14">
        <v>3988</v>
      </c>
      <c r="AS154" s="14">
        <v>4175</v>
      </c>
      <c r="AT154" s="35">
        <v>1347</v>
      </c>
      <c r="AU154" s="18">
        <v>139</v>
      </c>
      <c r="AV154" s="14">
        <v>142</v>
      </c>
      <c r="AW154" s="14">
        <v>167</v>
      </c>
      <c r="AX154" s="14">
        <v>194</v>
      </c>
      <c r="AY154" s="14">
        <v>242</v>
      </c>
      <c r="AZ154" s="14">
        <v>271</v>
      </c>
      <c r="BA154" s="14">
        <v>132</v>
      </c>
      <c r="BB154" s="34">
        <v>0.9496402877697842</v>
      </c>
    </row>
    <row r="155" spans="2:54" ht="15" customHeight="1">
      <c r="B155" s="19" t="s">
        <v>1</v>
      </c>
      <c r="C155" s="20"/>
      <c r="D155" s="20"/>
      <c r="E155" s="21">
        <v>139</v>
      </c>
      <c r="F155" s="18">
        <v>51</v>
      </c>
      <c r="G155" s="14">
        <v>60</v>
      </c>
      <c r="H155" s="14">
        <v>59</v>
      </c>
      <c r="I155" s="14">
        <v>51</v>
      </c>
      <c r="J155" s="14">
        <v>47</v>
      </c>
      <c r="K155" s="14">
        <v>50</v>
      </c>
      <c r="L155" s="14">
        <v>53</v>
      </c>
      <c r="M155" s="14">
        <v>60</v>
      </c>
      <c r="N155" s="14">
        <v>1</v>
      </c>
      <c r="O155" s="15">
        <v>0.01694915254237288</v>
      </c>
      <c r="P155" s="25">
        <v>0</v>
      </c>
      <c r="Q155" s="23">
        <v>23</v>
      </c>
      <c r="R155" s="14">
        <v>19</v>
      </c>
      <c r="S155" s="14">
        <v>16</v>
      </c>
      <c r="T155" s="14">
        <v>11</v>
      </c>
      <c r="U155" s="17">
        <v>10</v>
      </c>
      <c r="V155" s="17">
        <v>13</v>
      </c>
      <c r="W155" s="17">
        <v>12</v>
      </c>
      <c r="X155" s="17">
        <v>9</v>
      </c>
      <c r="Y155" s="14">
        <v>-7</v>
      </c>
      <c r="Z155" s="15">
        <v>-0.5217391304347826</v>
      </c>
      <c r="AA155" s="25"/>
      <c r="AB155" s="18">
        <v>67</v>
      </c>
      <c r="AC155" s="14">
        <v>48</v>
      </c>
      <c r="AD155" s="14">
        <v>37</v>
      </c>
      <c r="AE155" s="14">
        <v>20</v>
      </c>
      <c r="AF155" s="14">
        <v>367</v>
      </c>
      <c r="AG155" s="14">
        <v>24</v>
      </c>
      <c r="AH155" s="14">
        <v>25</v>
      </c>
      <c r="AI155" s="14">
        <v>15</v>
      </c>
      <c r="AJ155" s="14">
        <v>-22</v>
      </c>
      <c r="AK155" s="15">
        <v>-0.7014925373134329</v>
      </c>
      <c r="AL155" s="26"/>
      <c r="AM155" s="18">
        <v>275</v>
      </c>
      <c r="AN155" s="14">
        <v>292</v>
      </c>
      <c r="AO155" s="14">
        <v>327</v>
      </c>
      <c r="AP155" s="14">
        <v>341</v>
      </c>
      <c r="AQ155" s="14">
        <v>372</v>
      </c>
      <c r="AR155" s="14">
        <v>429</v>
      </c>
      <c r="AS155" s="14">
        <v>458</v>
      </c>
      <c r="AT155" s="35">
        <v>166</v>
      </c>
      <c r="AU155" s="18">
        <v>9</v>
      </c>
      <c r="AV155" s="14">
        <v>11</v>
      </c>
      <c r="AW155" s="14">
        <v>9</v>
      </c>
      <c r="AX155" s="14">
        <v>9</v>
      </c>
      <c r="AY155" s="14">
        <v>15</v>
      </c>
      <c r="AZ155" s="14">
        <v>22</v>
      </c>
      <c r="BA155" s="14">
        <v>13</v>
      </c>
      <c r="BB155" s="34">
        <v>1.4444444444444444</v>
      </c>
    </row>
    <row r="156" spans="2:54" ht="15" customHeight="1">
      <c r="B156" s="19" t="s">
        <v>2</v>
      </c>
      <c r="C156" s="20">
        <v>1</v>
      </c>
      <c r="D156" s="20" t="s">
        <v>52</v>
      </c>
      <c r="E156" s="22">
        <v>140</v>
      </c>
      <c r="F156" s="18">
        <v>64</v>
      </c>
      <c r="G156" s="14">
        <v>50</v>
      </c>
      <c r="H156" s="14">
        <v>53</v>
      </c>
      <c r="I156" s="14">
        <v>54</v>
      </c>
      <c r="J156" s="14">
        <v>54</v>
      </c>
      <c r="K156" s="14">
        <v>61</v>
      </c>
      <c r="L156" s="14">
        <v>78</v>
      </c>
      <c r="M156" s="14">
        <v>84</v>
      </c>
      <c r="N156" s="14">
        <v>31</v>
      </c>
      <c r="O156" s="15">
        <v>0.5849056603773585</v>
      </c>
      <c r="P156" s="25">
        <v>-0.15625</v>
      </c>
      <c r="Q156" s="23">
        <v>30</v>
      </c>
      <c r="R156" s="14">
        <v>16</v>
      </c>
      <c r="S156" s="14">
        <v>15</v>
      </c>
      <c r="T156" s="14">
        <v>15</v>
      </c>
      <c r="U156" s="17">
        <v>13</v>
      </c>
      <c r="V156" s="17">
        <v>16</v>
      </c>
      <c r="W156" s="17">
        <v>18</v>
      </c>
      <c r="X156" s="17">
        <v>14</v>
      </c>
      <c r="Y156" s="14">
        <v>-1</v>
      </c>
      <c r="Z156" s="15">
        <v>-0.5</v>
      </c>
      <c r="AA156" s="25"/>
      <c r="AB156" s="18">
        <v>75</v>
      </c>
      <c r="AC156" s="14">
        <v>34</v>
      </c>
      <c r="AD156" s="14">
        <v>34</v>
      </c>
      <c r="AE156" s="14">
        <v>37</v>
      </c>
      <c r="AF156" s="14">
        <v>19</v>
      </c>
      <c r="AG156" s="14">
        <v>39</v>
      </c>
      <c r="AH156" s="14">
        <v>44</v>
      </c>
      <c r="AI156" s="14">
        <v>25</v>
      </c>
      <c r="AJ156" s="14">
        <v>-9</v>
      </c>
      <c r="AK156" s="15">
        <v>-0.5066666666666667</v>
      </c>
      <c r="AL156" s="26"/>
      <c r="AM156" s="18">
        <v>294</v>
      </c>
      <c r="AN156" s="14">
        <v>278</v>
      </c>
      <c r="AO156" s="14">
        <v>301</v>
      </c>
      <c r="AP156" s="14">
        <v>357</v>
      </c>
      <c r="AQ156" s="14">
        <v>427</v>
      </c>
      <c r="AR156" s="14">
        <v>512</v>
      </c>
      <c r="AS156" s="14">
        <v>540</v>
      </c>
      <c r="AT156" s="35">
        <v>262</v>
      </c>
      <c r="AU156" s="18">
        <v>12</v>
      </c>
      <c r="AV156" s="14">
        <v>17</v>
      </c>
      <c r="AW156" s="14">
        <v>14</v>
      </c>
      <c r="AX156" s="14">
        <v>23</v>
      </c>
      <c r="AY156" s="14">
        <v>28</v>
      </c>
      <c r="AZ156" s="14">
        <v>31</v>
      </c>
      <c r="BA156" s="14">
        <v>19</v>
      </c>
      <c r="BB156" s="34">
        <v>1.5833333333333333</v>
      </c>
    </row>
    <row r="157" spans="2:54" ht="15" customHeight="1">
      <c r="B157" s="19" t="s">
        <v>3</v>
      </c>
      <c r="C157" s="20">
        <v>1</v>
      </c>
      <c r="D157" s="20" t="s">
        <v>47</v>
      </c>
      <c r="E157" s="22">
        <v>141</v>
      </c>
      <c r="F157" s="18">
        <v>122</v>
      </c>
      <c r="G157" s="14">
        <v>119</v>
      </c>
      <c r="H157" s="14">
        <v>113</v>
      </c>
      <c r="I157" s="14">
        <v>105</v>
      </c>
      <c r="J157" s="14">
        <v>101</v>
      </c>
      <c r="K157" s="14">
        <v>114</v>
      </c>
      <c r="L157" s="14">
        <v>137</v>
      </c>
      <c r="M157" s="14">
        <v>152</v>
      </c>
      <c r="N157" s="14">
        <v>39</v>
      </c>
      <c r="O157" s="15">
        <v>0.34513274336283184</v>
      </c>
      <c r="P157" s="25">
        <v>-0.13934426229508196</v>
      </c>
      <c r="Q157" s="23">
        <v>55</v>
      </c>
      <c r="R157" s="14">
        <v>45</v>
      </c>
      <c r="S157" s="14">
        <v>27</v>
      </c>
      <c r="T157" s="14">
        <v>28</v>
      </c>
      <c r="U157" s="17">
        <v>25</v>
      </c>
      <c r="V157" s="17">
        <v>25</v>
      </c>
      <c r="W157" s="17">
        <v>32</v>
      </c>
      <c r="X157" s="17">
        <v>31</v>
      </c>
      <c r="Y157" s="14">
        <v>4</v>
      </c>
      <c r="Z157" s="15">
        <v>-0.4909090909090909</v>
      </c>
      <c r="AA157" s="25"/>
      <c r="AB157" s="18">
        <v>136</v>
      </c>
      <c r="AC157" s="14">
        <v>107</v>
      </c>
      <c r="AD157" s="14">
        <v>59</v>
      </c>
      <c r="AE157" s="14">
        <v>60</v>
      </c>
      <c r="AF157" s="14">
        <v>32</v>
      </c>
      <c r="AG157" s="14">
        <v>57</v>
      </c>
      <c r="AH157" s="14">
        <v>71</v>
      </c>
      <c r="AI157" s="14">
        <v>60</v>
      </c>
      <c r="AJ157" s="14">
        <v>1</v>
      </c>
      <c r="AK157" s="15">
        <v>-0.5588235294117647</v>
      </c>
      <c r="AL157" s="26"/>
      <c r="AM157" s="18">
        <v>462</v>
      </c>
      <c r="AN157" s="14">
        <v>512</v>
      </c>
      <c r="AO157" s="14">
        <v>490</v>
      </c>
      <c r="AP157" s="14">
        <v>502</v>
      </c>
      <c r="AQ157" s="14">
        <v>625</v>
      </c>
      <c r="AR157" s="14">
        <v>679</v>
      </c>
      <c r="AS157" s="14">
        <v>707</v>
      </c>
      <c r="AT157" s="35">
        <v>195</v>
      </c>
      <c r="AU157" s="18">
        <v>15</v>
      </c>
      <c r="AV157" s="14">
        <v>19</v>
      </c>
      <c r="AW157" s="14">
        <v>15</v>
      </c>
      <c r="AX157" s="14">
        <v>25</v>
      </c>
      <c r="AY157" s="14">
        <v>36</v>
      </c>
      <c r="AZ157" s="14">
        <v>47</v>
      </c>
      <c r="BA157" s="14">
        <v>32</v>
      </c>
      <c r="BB157" s="34">
        <v>2.1333333333333333</v>
      </c>
    </row>
    <row r="158" spans="2:54" ht="15" customHeight="1">
      <c r="B158" s="19" t="s">
        <v>4</v>
      </c>
      <c r="C158" s="20"/>
      <c r="D158" s="20"/>
      <c r="E158" s="21">
        <v>142</v>
      </c>
      <c r="F158" s="18">
        <v>31</v>
      </c>
      <c r="G158" s="14">
        <v>26</v>
      </c>
      <c r="H158" s="14">
        <v>22</v>
      </c>
      <c r="I158" s="14">
        <v>24</v>
      </c>
      <c r="J158" s="14">
        <v>28</v>
      </c>
      <c r="K158" s="14">
        <v>30</v>
      </c>
      <c r="L158" s="14">
        <v>39</v>
      </c>
      <c r="M158" s="14">
        <v>46</v>
      </c>
      <c r="N158" s="14">
        <v>24</v>
      </c>
      <c r="O158" s="15">
        <v>1.0909090909090908</v>
      </c>
      <c r="P158" s="25">
        <v>-0.22580645161290322</v>
      </c>
      <c r="Q158" s="23">
        <v>18</v>
      </c>
      <c r="R158" s="14">
        <v>16</v>
      </c>
      <c r="S158" s="14">
        <v>11</v>
      </c>
      <c r="T158" s="14">
        <v>10</v>
      </c>
      <c r="U158" s="17">
        <v>7</v>
      </c>
      <c r="V158" s="17">
        <v>9</v>
      </c>
      <c r="W158" s="17">
        <v>12</v>
      </c>
      <c r="X158" s="17">
        <v>9</v>
      </c>
      <c r="Y158" s="14">
        <v>-2</v>
      </c>
      <c r="Z158" s="15">
        <v>-0.4444444444444444</v>
      </c>
      <c r="AA158" s="25"/>
      <c r="AB158" s="18">
        <v>34</v>
      </c>
      <c r="AC158" s="14">
        <v>29</v>
      </c>
      <c r="AD158" s="14">
        <v>19</v>
      </c>
      <c r="AE158" s="14">
        <v>15</v>
      </c>
      <c r="AF158" s="14">
        <v>57</v>
      </c>
      <c r="AG158" s="14">
        <v>19</v>
      </c>
      <c r="AH158" s="14">
        <v>21</v>
      </c>
      <c r="AI158" s="14">
        <v>16</v>
      </c>
      <c r="AJ158" s="14">
        <v>-3</v>
      </c>
      <c r="AK158" s="15">
        <v>-0.5588235294117647</v>
      </c>
      <c r="AL158" s="26"/>
      <c r="AM158" s="18">
        <v>205</v>
      </c>
      <c r="AN158" s="14">
        <v>231</v>
      </c>
      <c r="AO158" s="14">
        <v>242</v>
      </c>
      <c r="AP158" s="14">
        <v>268</v>
      </c>
      <c r="AQ158" s="14">
        <v>319</v>
      </c>
      <c r="AR158" s="14">
        <v>370</v>
      </c>
      <c r="AS158" s="14">
        <v>443</v>
      </c>
      <c r="AT158" s="35">
        <v>212</v>
      </c>
      <c r="AU158" s="18">
        <v>7</v>
      </c>
      <c r="AV158" s="14">
        <v>10</v>
      </c>
      <c r="AW158" s="14">
        <v>11</v>
      </c>
      <c r="AX158" s="14">
        <v>15</v>
      </c>
      <c r="AY158" s="14">
        <v>17</v>
      </c>
      <c r="AZ158" s="14">
        <v>16</v>
      </c>
      <c r="BA158" s="14">
        <v>9</v>
      </c>
      <c r="BB158" s="34">
        <v>1.2857142857142858</v>
      </c>
    </row>
    <row r="159" spans="2:54" ht="15" customHeight="1">
      <c r="B159" s="19" t="s">
        <v>5</v>
      </c>
      <c r="C159" s="20"/>
      <c r="D159" s="20"/>
      <c r="E159" s="22">
        <v>143</v>
      </c>
      <c r="F159" s="18">
        <v>669</v>
      </c>
      <c r="G159" s="14">
        <v>652</v>
      </c>
      <c r="H159" s="14">
        <v>682</v>
      </c>
      <c r="I159" s="14">
        <v>721</v>
      </c>
      <c r="J159" s="14">
        <v>775</v>
      </c>
      <c r="K159" s="14">
        <v>881</v>
      </c>
      <c r="L159" s="14">
        <v>983</v>
      </c>
      <c r="M159" s="14">
        <v>1110</v>
      </c>
      <c r="N159" s="14">
        <v>428</v>
      </c>
      <c r="O159" s="15">
        <v>0.6275659824046921</v>
      </c>
      <c r="P159" s="25">
        <v>0.07772795216741404</v>
      </c>
      <c r="Q159" s="23">
        <v>280</v>
      </c>
      <c r="R159" s="14">
        <v>219</v>
      </c>
      <c r="S159" s="14">
        <v>209</v>
      </c>
      <c r="T159" s="14">
        <v>220</v>
      </c>
      <c r="U159" s="17">
        <v>180</v>
      </c>
      <c r="V159" s="17">
        <v>189</v>
      </c>
      <c r="W159" s="17">
        <v>186</v>
      </c>
      <c r="X159" s="17">
        <v>185</v>
      </c>
      <c r="Y159" s="14">
        <v>-24</v>
      </c>
      <c r="Z159" s="15">
        <v>-0.21428571428571427</v>
      </c>
      <c r="AA159" s="25"/>
      <c r="AB159" s="18">
        <v>762</v>
      </c>
      <c r="AC159" s="14">
        <v>541</v>
      </c>
      <c r="AD159" s="14">
        <v>489</v>
      </c>
      <c r="AE159" s="14">
        <v>525</v>
      </c>
      <c r="AF159" s="14">
        <v>11</v>
      </c>
      <c r="AG159" s="14">
        <v>438</v>
      </c>
      <c r="AH159" s="14">
        <v>428</v>
      </c>
      <c r="AI159" s="14">
        <v>430</v>
      </c>
      <c r="AJ159" s="14">
        <v>-59</v>
      </c>
      <c r="AK159" s="15">
        <v>-0.3110236220472441</v>
      </c>
      <c r="AL159" s="26"/>
      <c r="AM159" s="18">
        <v>2932</v>
      </c>
      <c r="AN159" s="14">
        <v>3178</v>
      </c>
      <c r="AO159" s="14">
        <v>3357</v>
      </c>
      <c r="AP159" s="14">
        <v>3625</v>
      </c>
      <c r="AQ159" s="14">
        <v>4226</v>
      </c>
      <c r="AR159" s="14">
        <v>4841</v>
      </c>
      <c r="AS159" s="14">
        <v>5016</v>
      </c>
      <c r="AT159" s="35">
        <v>1838</v>
      </c>
      <c r="AU159" s="18">
        <v>152</v>
      </c>
      <c r="AV159" s="14">
        <v>200</v>
      </c>
      <c r="AW159" s="14">
        <v>243</v>
      </c>
      <c r="AX159" s="14">
        <v>313</v>
      </c>
      <c r="AY159" s="14">
        <v>331</v>
      </c>
      <c r="AZ159" s="14">
        <v>364</v>
      </c>
      <c r="BA159" s="14">
        <v>212</v>
      </c>
      <c r="BB159" s="34">
        <v>1.394736842105263</v>
      </c>
    </row>
    <row r="160" spans="2:54" ht="15" customHeight="1">
      <c r="B160" s="19" t="s">
        <v>6</v>
      </c>
      <c r="C160" s="20"/>
      <c r="D160" s="20"/>
      <c r="E160" s="22">
        <v>144</v>
      </c>
      <c r="F160" s="18">
        <v>111</v>
      </c>
      <c r="G160" s="14">
        <v>107</v>
      </c>
      <c r="H160" s="14">
        <v>104</v>
      </c>
      <c r="I160" s="14">
        <v>101</v>
      </c>
      <c r="J160" s="14">
        <v>108</v>
      </c>
      <c r="K160" s="14">
        <v>120</v>
      </c>
      <c r="L160" s="14">
        <v>141</v>
      </c>
      <c r="M160" s="14">
        <v>150</v>
      </c>
      <c r="N160" s="14">
        <v>46</v>
      </c>
      <c r="O160" s="15">
        <v>0.4423076923076923</v>
      </c>
      <c r="P160" s="25">
        <v>-0.09009009009009009</v>
      </c>
      <c r="Q160" s="23">
        <v>53</v>
      </c>
      <c r="R160" s="14">
        <v>39</v>
      </c>
      <c r="S160" s="14">
        <v>26</v>
      </c>
      <c r="T160" s="14">
        <v>19</v>
      </c>
      <c r="U160" s="17">
        <v>25</v>
      </c>
      <c r="V160" s="17">
        <v>23</v>
      </c>
      <c r="W160" s="17">
        <v>19</v>
      </c>
      <c r="X160" s="17">
        <v>27</v>
      </c>
      <c r="Y160" s="14">
        <v>1</v>
      </c>
      <c r="Z160" s="15">
        <v>-0.6415094339622641</v>
      </c>
      <c r="AA160" s="25"/>
      <c r="AB160" s="18">
        <v>140</v>
      </c>
      <c r="AC160" s="14">
        <v>94</v>
      </c>
      <c r="AD160" s="14">
        <v>50</v>
      </c>
      <c r="AE160" s="14">
        <v>38</v>
      </c>
      <c r="AF160" s="14">
        <v>417</v>
      </c>
      <c r="AG160" s="14">
        <v>48</v>
      </c>
      <c r="AH160" s="14">
        <v>38</v>
      </c>
      <c r="AI160" s="14">
        <v>51</v>
      </c>
      <c r="AJ160" s="14">
        <v>1</v>
      </c>
      <c r="AK160" s="15">
        <v>-0.7285714285714285</v>
      </c>
      <c r="AL160" s="26"/>
      <c r="AM160" s="18">
        <v>830</v>
      </c>
      <c r="AN160" s="14">
        <v>861</v>
      </c>
      <c r="AO160" s="14">
        <v>967</v>
      </c>
      <c r="AP160" s="14">
        <v>996</v>
      </c>
      <c r="AQ160" s="14">
        <v>1129</v>
      </c>
      <c r="AR160" s="14">
        <v>1265</v>
      </c>
      <c r="AS160" s="14">
        <v>1323</v>
      </c>
      <c r="AT160" s="35">
        <v>462</v>
      </c>
      <c r="AU160" s="18">
        <v>26</v>
      </c>
      <c r="AV160" s="14">
        <v>31</v>
      </c>
      <c r="AW160" s="14">
        <v>37</v>
      </c>
      <c r="AX160" s="14">
        <v>53</v>
      </c>
      <c r="AY160" s="14">
        <v>58</v>
      </c>
      <c r="AZ160" s="14">
        <v>60</v>
      </c>
      <c r="BA160" s="14">
        <v>34</v>
      </c>
      <c r="BB160" s="34">
        <v>1.3076923076923077</v>
      </c>
    </row>
    <row r="161" spans="2:54" ht="15" customHeight="1">
      <c r="B161" s="19" t="s">
        <v>7</v>
      </c>
      <c r="C161" s="20">
        <v>1</v>
      </c>
      <c r="D161" s="20" t="s">
        <v>47</v>
      </c>
      <c r="E161" s="21">
        <v>145</v>
      </c>
      <c r="F161" s="18">
        <v>3</v>
      </c>
      <c r="G161" s="14">
        <v>3</v>
      </c>
      <c r="H161" s="14">
        <v>2</v>
      </c>
      <c r="I161" s="14">
        <v>2</v>
      </c>
      <c r="J161" s="14">
        <v>2</v>
      </c>
      <c r="K161" s="14">
        <v>1</v>
      </c>
      <c r="L161" s="14">
        <v>2</v>
      </c>
      <c r="M161" s="14">
        <v>2</v>
      </c>
      <c r="N161" s="14">
        <v>0</v>
      </c>
      <c r="O161" s="15">
        <v>0</v>
      </c>
      <c r="P161" s="25">
        <v>-0.3333333333333333</v>
      </c>
      <c r="Q161" s="23">
        <v>1</v>
      </c>
      <c r="R161" s="14">
        <v>1</v>
      </c>
      <c r="S161" s="14">
        <v>0</v>
      </c>
      <c r="T161" s="14">
        <v>0</v>
      </c>
      <c r="U161" s="17">
        <v>0</v>
      </c>
      <c r="V161" s="17">
        <v>0</v>
      </c>
      <c r="W161" s="17">
        <v>0</v>
      </c>
      <c r="X161" s="17">
        <v>0</v>
      </c>
      <c r="Y161" s="14">
        <v>0</v>
      </c>
      <c r="Z161" s="15">
        <v>-1</v>
      </c>
      <c r="AA161" s="25"/>
      <c r="AB161" s="18">
        <v>5</v>
      </c>
      <c r="AC161" s="14">
        <v>3</v>
      </c>
      <c r="AD161" s="14">
        <v>4</v>
      </c>
      <c r="AE161" s="14">
        <v>2</v>
      </c>
      <c r="AF161" s="14">
        <v>57</v>
      </c>
      <c r="AG161" s="14">
        <v>1</v>
      </c>
      <c r="AH161" s="14">
        <v>0</v>
      </c>
      <c r="AI161" s="14">
        <v>0</v>
      </c>
      <c r="AJ161" s="14">
        <v>-4</v>
      </c>
      <c r="AK161" s="15">
        <v>-0.6</v>
      </c>
      <c r="AL161" s="26"/>
      <c r="AM161" s="18">
        <v>12</v>
      </c>
      <c r="AN161" s="14">
        <v>13</v>
      </c>
      <c r="AO161" s="14">
        <v>19</v>
      </c>
      <c r="AP161" s="14">
        <v>17</v>
      </c>
      <c r="AQ161" s="14">
        <v>18</v>
      </c>
      <c r="AR161" s="14">
        <v>18</v>
      </c>
      <c r="AS161" s="14">
        <v>28</v>
      </c>
      <c r="AT161" s="35">
        <v>15</v>
      </c>
      <c r="AU161" s="18"/>
      <c r="AV161" s="14"/>
      <c r="AW161" s="14"/>
      <c r="AX161" s="14"/>
      <c r="AY161" s="14"/>
      <c r="AZ161" s="14"/>
      <c r="BA161" s="14"/>
      <c r="BB161" s="34"/>
    </row>
    <row r="162" spans="2:54" ht="15" customHeight="1">
      <c r="B162" s="19" t="s">
        <v>8</v>
      </c>
      <c r="C162" s="20"/>
      <c r="D162" s="20"/>
      <c r="E162" s="22">
        <v>146</v>
      </c>
      <c r="F162" s="18">
        <v>582</v>
      </c>
      <c r="G162" s="14">
        <v>574</v>
      </c>
      <c r="H162" s="14">
        <v>549</v>
      </c>
      <c r="I162" s="14">
        <v>513</v>
      </c>
      <c r="J162" s="14">
        <v>519</v>
      </c>
      <c r="K162" s="14">
        <v>524</v>
      </c>
      <c r="L162" s="14">
        <v>618</v>
      </c>
      <c r="M162" s="14">
        <v>700</v>
      </c>
      <c r="N162" s="14">
        <v>151</v>
      </c>
      <c r="O162" s="15">
        <v>0.2750455373406193</v>
      </c>
      <c r="P162" s="25">
        <v>-0.11855670103092783</v>
      </c>
      <c r="Q162" s="23">
        <v>333</v>
      </c>
      <c r="R162" s="14">
        <v>247</v>
      </c>
      <c r="S162" s="14">
        <v>205</v>
      </c>
      <c r="T162" s="14">
        <v>178</v>
      </c>
      <c r="U162" s="17">
        <v>173</v>
      </c>
      <c r="V162" s="17">
        <v>165</v>
      </c>
      <c r="W162" s="17">
        <v>182</v>
      </c>
      <c r="X162" s="17">
        <v>168</v>
      </c>
      <c r="Y162" s="14">
        <v>-37</v>
      </c>
      <c r="Z162" s="15">
        <v>-0.46546546546546547</v>
      </c>
      <c r="AA162" s="25"/>
      <c r="AB162" s="18">
        <v>900</v>
      </c>
      <c r="AC162" s="14">
        <v>628</v>
      </c>
      <c r="AD162" s="14">
        <v>509</v>
      </c>
      <c r="AE162" s="14">
        <v>442</v>
      </c>
      <c r="AF162" s="14">
        <v>1</v>
      </c>
      <c r="AG162" s="14">
        <v>376</v>
      </c>
      <c r="AH162" s="14">
        <v>395</v>
      </c>
      <c r="AI162" s="14">
        <v>356</v>
      </c>
      <c r="AJ162" s="14">
        <v>-153</v>
      </c>
      <c r="AK162" s="15">
        <v>-0.5088888888888888</v>
      </c>
      <c r="AL162" s="26"/>
      <c r="AM162" s="18">
        <v>2385</v>
      </c>
      <c r="AN162" s="14">
        <v>2411</v>
      </c>
      <c r="AO162" s="14">
        <v>2522</v>
      </c>
      <c r="AP162" s="14">
        <v>2624</v>
      </c>
      <c r="AQ162" s="14">
        <v>2873</v>
      </c>
      <c r="AR162" s="14">
        <v>3030</v>
      </c>
      <c r="AS162" s="14">
        <v>3248</v>
      </c>
      <c r="AT162" s="35">
        <v>837</v>
      </c>
      <c r="AU162" s="18">
        <v>85</v>
      </c>
      <c r="AV162" s="14">
        <v>100</v>
      </c>
      <c r="AW162" s="14">
        <v>107</v>
      </c>
      <c r="AX162" s="14">
        <v>104</v>
      </c>
      <c r="AY162" s="14">
        <v>133</v>
      </c>
      <c r="AZ162" s="14">
        <v>165</v>
      </c>
      <c r="BA162" s="14">
        <v>80</v>
      </c>
      <c r="BB162" s="34">
        <v>0.9411764705882353</v>
      </c>
    </row>
    <row r="163" spans="2:54" ht="15" customHeight="1">
      <c r="B163" s="19" t="s">
        <v>9</v>
      </c>
      <c r="C163" s="20">
        <v>1</v>
      </c>
      <c r="D163" s="20" t="s">
        <v>47</v>
      </c>
      <c r="E163" s="22">
        <v>147</v>
      </c>
      <c r="F163" s="18">
        <v>29</v>
      </c>
      <c r="G163" s="14">
        <v>28</v>
      </c>
      <c r="H163" s="14">
        <v>29</v>
      </c>
      <c r="I163" s="14">
        <v>32</v>
      </c>
      <c r="J163" s="14">
        <v>34</v>
      </c>
      <c r="K163" s="14">
        <v>34</v>
      </c>
      <c r="L163" s="14">
        <v>37</v>
      </c>
      <c r="M163" s="14">
        <v>37</v>
      </c>
      <c r="N163" s="14">
        <v>8</v>
      </c>
      <c r="O163" s="15">
        <v>0.27586206896551724</v>
      </c>
      <c r="P163" s="25">
        <v>0.10344827586206896</v>
      </c>
      <c r="Q163" s="23">
        <v>12</v>
      </c>
      <c r="R163" s="14">
        <v>7</v>
      </c>
      <c r="S163" s="14">
        <v>7</v>
      </c>
      <c r="T163" s="14">
        <v>8</v>
      </c>
      <c r="U163" s="17">
        <v>7</v>
      </c>
      <c r="V163" s="17">
        <v>6</v>
      </c>
      <c r="W163" s="17">
        <v>7</v>
      </c>
      <c r="X163" s="17">
        <v>7</v>
      </c>
      <c r="Y163" s="14">
        <v>0</v>
      </c>
      <c r="Z163" s="15">
        <v>-0.3333333333333333</v>
      </c>
      <c r="AA163" s="25"/>
      <c r="AB163" s="18">
        <v>39</v>
      </c>
      <c r="AC163" s="14">
        <v>19</v>
      </c>
      <c r="AD163" s="14">
        <v>17</v>
      </c>
      <c r="AE163" s="14">
        <v>17</v>
      </c>
      <c r="AF163" s="14">
        <v>415</v>
      </c>
      <c r="AG163" s="14">
        <v>12</v>
      </c>
      <c r="AH163" s="14">
        <v>14</v>
      </c>
      <c r="AI163" s="14">
        <v>10</v>
      </c>
      <c r="AJ163" s="14">
        <v>-7</v>
      </c>
      <c r="AK163" s="15">
        <v>-0.5641025641025641</v>
      </c>
      <c r="AL163" s="26"/>
      <c r="AM163" s="18">
        <v>130</v>
      </c>
      <c r="AN163" s="14">
        <v>126</v>
      </c>
      <c r="AO163" s="14">
        <v>162</v>
      </c>
      <c r="AP163" s="14">
        <v>182</v>
      </c>
      <c r="AQ163" s="14">
        <v>190</v>
      </c>
      <c r="AR163" s="14">
        <v>191</v>
      </c>
      <c r="AS163" s="14">
        <v>173</v>
      </c>
      <c r="AT163" s="35">
        <v>47</v>
      </c>
      <c r="AU163" s="18">
        <v>4</v>
      </c>
      <c r="AV163" s="14">
        <v>9</v>
      </c>
      <c r="AW163" s="14">
        <v>8</v>
      </c>
      <c r="AX163" s="14">
        <v>9</v>
      </c>
      <c r="AY163" s="14">
        <v>12</v>
      </c>
      <c r="AZ163" s="14">
        <v>14</v>
      </c>
      <c r="BA163" s="14">
        <v>10</v>
      </c>
      <c r="BB163" s="34">
        <v>2.5</v>
      </c>
    </row>
    <row r="164" spans="2:54" ht="15" customHeight="1">
      <c r="B164" s="19" t="s">
        <v>10</v>
      </c>
      <c r="C164" s="20"/>
      <c r="D164" s="20"/>
      <c r="E164" s="21">
        <v>148</v>
      </c>
      <c r="F164" s="18">
        <v>424</v>
      </c>
      <c r="G164" s="14">
        <v>417</v>
      </c>
      <c r="H164" s="14">
        <v>376</v>
      </c>
      <c r="I164" s="14">
        <v>336</v>
      </c>
      <c r="J164" s="14">
        <v>327</v>
      </c>
      <c r="K164" s="14">
        <v>325</v>
      </c>
      <c r="L164" s="14">
        <v>390</v>
      </c>
      <c r="M164" s="14">
        <v>418</v>
      </c>
      <c r="N164" s="14">
        <v>42</v>
      </c>
      <c r="O164" s="15">
        <v>0.11170212765957446</v>
      </c>
      <c r="P164" s="25">
        <v>-0.20754716981132076</v>
      </c>
      <c r="Q164" s="23">
        <v>217</v>
      </c>
      <c r="R164" s="14">
        <v>156</v>
      </c>
      <c r="S164" s="14">
        <v>117</v>
      </c>
      <c r="T164" s="14">
        <v>101</v>
      </c>
      <c r="U164" s="17">
        <v>102</v>
      </c>
      <c r="V164" s="17">
        <v>97</v>
      </c>
      <c r="W164" s="17">
        <v>87</v>
      </c>
      <c r="X164" s="17">
        <v>78</v>
      </c>
      <c r="Y164" s="14">
        <v>-39</v>
      </c>
      <c r="Z164" s="15">
        <v>-0.5345622119815668</v>
      </c>
      <c r="AA164" s="25"/>
      <c r="AB164" s="18">
        <v>531</v>
      </c>
      <c r="AC164" s="14">
        <v>346</v>
      </c>
      <c r="AD164" s="14">
        <v>258</v>
      </c>
      <c r="AE164" s="14">
        <v>224</v>
      </c>
      <c r="AF164" s="14">
        <v>13</v>
      </c>
      <c r="AG164" s="14">
        <v>211</v>
      </c>
      <c r="AH164" s="14">
        <v>181</v>
      </c>
      <c r="AI164" s="14">
        <v>159</v>
      </c>
      <c r="AJ164" s="14">
        <v>-99</v>
      </c>
      <c r="AK164" s="15">
        <v>-0.5781544256120528</v>
      </c>
      <c r="AL164" s="26"/>
      <c r="AM164" s="18">
        <v>2198</v>
      </c>
      <c r="AN164" s="14">
        <v>2333</v>
      </c>
      <c r="AO164" s="14">
        <v>2304</v>
      </c>
      <c r="AP164" s="14">
        <v>2222</v>
      </c>
      <c r="AQ164" s="14">
        <v>2481</v>
      </c>
      <c r="AR164" s="14">
        <v>2734</v>
      </c>
      <c r="AS164" s="14">
        <v>2888</v>
      </c>
      <c r="AT164" s="35">
        <v>555</v>
      </c>
      <c r="AU164" s="18">
        <v>86</v>
      </c>
      <c r="AV164" s="14">
        <v>87</v>
      </c>
      <c r="AW164" s="14">
        <v>109</v>
      </c>
      <c r="AX164" s="14">
        <v>117</v>
      </c>
      <c r="AY164" s="14">
        <v>133</v>
      </c>
      <c r="AZ164" s="14">
        <v>155</v>
      </c>
      <c r="BA164" s="14">
        <v>69</v>
      </c>
      <c r="BB164" s="34">
        <v>0.8023255813953488</v>
      </c>
    </row>
    <row r="165" spans="2:54" ht="15" customHeight="1">
      <c r="B165" s="19" t="s">
        <v>11</v>
      </c>
      <c r="C165" s="20">
        <v>1</v>
      </c>
      <c r="D165" s="20" t="s">
        <v>52</v>
      </c>
      <c r="E165" s="22">
        <v>149</v>
      </c>
      <c r="F165" s="18">
        <v>2</v>
      </c>
      <c r="G165" s="14">
        <v>0</v>
      </c>
      <c r="H165" s="14">
        <v>1</v>
      </c>
      <c r="I165" s="14">
        <v>1</v>
      </c>
      <c r="J165" s="14">
        <v>2</v>
      </c>
      <c r="K165" s="14">
        <v>2</v>
      </c>
      <c r="L165" s="14">
        <v>2</v>
      </c>
      <c r="M165" s="14">
        <v>2</v>
      </c>
      <c r="N165" s="14">
        <v>1</v>
      </c>
      <c r="O165" s="15">
        <v>1</v>
      </c>
      <c r="P165" s="25">
        <v>-0.5</v>
      </c>
      <c r="Q165" s="23">
        <v>1</v>
      </c>
      <c r="R165" s="14">
        <v>0</v>
      </c>
      <c r="S165" s="14">
        <v>1</v>
      </c>
      <c r="T165" s="14">
        <v>0</v>
      </c>
      <c r="U165" s="17">
        <v>1</v>
      </c>
      <c r="V165" s="17">
        <v>1</v>
      </c>
      <c r="W165" s="17">
        <v>2</v>
      </c>
      <c r="X165" s="17">
        <v>1</v>
      </c>
      <c r="Y165" s="14">
        <v>0</v>
      </c>
      <c r="Z165" s="15">
        <v>-1</v>
      </c>
      <c r="AA165" s="25"/>
      <c r="AB165" s="18">
        <v>4</v>
      </c>
      <c r="AC165" s="14">
        <v>1</v>
      </c>
      <c r="AD165" s="14">
        <v>3</v>
      </c>
      <c r="AE165" s="14">
        <v>0</v>
      </c>
      <c r="AF165" s="14">
        <v>227</v>
      </c>
      <c r="AG165" s="14">
        <v>2</v>
      </c>
      <c r="AH165" s="14">
        <v>4</v>
      </c>
      <c r="AI165" s="14">
        <v>1</v>
      </c>
      <c r="AJ165" s="14">
        <v>-2</v>
      </c>
      <c r="AK165" s="15">
        <v>-1</v>
      </c>
      <c r="AL165" s="26"/>
      <c r="AM165" s="18">
        <v>15</v>
      </c>
      <c r="AN165" s="14">
        <v>13</v>
      </c>
      <c r="AO165" s="14">
        <v>16</v>
      </c>
      <c r="AP165" s="14">
        <v>20</v>
      </c>
      <c r="AQ165" s="14">
        <v>40</v>
      </c>
      <c r="AR165" s="14">
        <v>46</v>
      </c>
      <c r="AS165" s="14">
        <v>47</v>
      </c>
      <c r="AT165" s="35">
        <v>34</v>
      </c>
      <c r="AU165" s="18">
        <v>0</v>
      </c>
      <c r="AV165" s="14">
        <v>1</v>
      </c>
      <c r="AW165" s="14">
        <v>2</v>
      </c>
      <c r="AX165" s="14">
        <v>1</v>
      </c>
      <c r="AY165" s="14">
        <v>1</v>
      </c>
      <c r="AZ165" s="14">
        <v>1</v>
      </c>
      <c r="BA165" s="14">
        <v>1</v>
      </c>
      <c r="BB165" s="34"/>
    </row>
    <row r="166" spans="2:54" ht="15" customHeight="1">
      <c r="B166" s="19" t="s">
        <v>12</v>
      </c>
      <c r="C166" s="20">
        <v>1</v>
      </c>
      <c r="D166" s="20" t="s">
        <v>52</v>
      </c>
      <c r="E166" s="22">
        <v>150</v>
      </c>
      <c r="F166" s="18">
        <v>17</v>
      </c>
      <c r="G166" s="14">
        <v>13</v>
      </c>
      <c r="H166" s="14">
        <v>12</v>
      </c>
      <c r="I166" s="14">
        <v>11</v>
      </c>
      <c r="J166" s="14">
        <v>12</v>
      </c>
      <c r="K166" s="14">
        <v>11</v>
      </c>
      <c r="L166" s="14">
        <v>12</v>
      </c>
      <c r="M166" s="14">
        <v>15</v>
      </c>
      <c r="N166" s="14">
        <v>3</v>
      </c>
      <c r="O166" s="15">
        <v>0.25</v>
      </c>
      <c r="P166" s="25">
        <v>-0.35294117647058826</v>
      </c>
      <c r="Q166" s="23">
        <v>11</v>
      </c>
      <c r="R166" s="14">
        <v>6</v>
      </c>
      <c r="S166" s="14">
        <v>4</v>
      </c>
      <c r="T166" s="14">
        <v>6</v>
      </c>
      <c r="U166" s="17">
        <v>4</v>
      </c>
      <c r="V166" s="17">
        <v>1</v>
      </c>
      <c r="W166" s="17">
        <v>0</v>
      </c>
      <c r="X166" s="17">
        <v>3</v>
      </c>
      <c r="Y166" s="14">
        <v>-1</v>
      </c>
      <c r="Z166" s="15">
        <v>-0.45454545454545453</v>
      </c>
      <c r="AA166" s="25"/>
      <c r="AB166" s="18">
        <v>30</v>
      </c>
      <c r="AC166" s="14">
        <v>16</v>
      </c>
      <c r="AD166" s="14">
        <v>7</v>
      </c>
      <c r="AE166" s="14">
        <v>11</v>
      </c>
      <c r="AF166" s="14">
        <v>2</v>
      </c>
      <c r="AG166" s="14">
        <v>2</v>
      </c>
      <c r="AH166" s="14">
        <v>1</v>
      </c>
      <c r="AI166" s="14">
        <v>5</v>
      </c>
      <c r="AJ166" s="14">
        <v>-2</v>
      </c>
      <c r="AK166" s="15">
        <v>-0.6333333333333333</v>
      </c>
      <c r="AL166" s="26"/>
      <c r="AM166" s="18">
        <v>138</v>
      </c>
      <c r="AN166" s="14">
        <v>125</v>
      </c>
      <c r="AO166" s="14">
        <v>128</v>
      </c>
      <c r="AP166" s="14">
        <v>132</v>
      </c>
      <c r="AQ166" s="14">
        <v>169</v>
      </c>
      <c r="AR166" s="14">
        <v>192</v>
      </c>
      <c r="AS166" s="14">
        <v>206</v>
      </c>
      <c r="AT166" s="35">
        <v>81</v>
      </c>
      <c r="AU166" s="18">
        <v>4</v>
      </c>
      <c r="AV166" s="14">
        <v>4</v>
      </c>
      <c r="AW166" s="14">
        <v>4</v>
      </c>
      <c r="AX166" s="14">
        <v>7</v>
      </c>
      <c r="AY166" s="14">
        <v>11</v>
      </c>
      <c r="AZ166" s="14">
        <v>9</v>
      </c>
      <c r="BA166" s="14">
        <v>5</v>
      </c>
      <c r="BB166" s="34">
        <v>1.25</v>
      </c>
    </row>
    <row r="167" spans="2:54" ht="15" customHeight="1">
      <c r="B167" s="19" t="s">
        <v>13</v>
      </c>
      <c r="C167" s="20" t="s">
        <v>63</v>
      </c>
      <c r="D167" s="20"/>
      <c r="E167" s="21">
        <v>151</v>
      </c>
      <c r="F167" s="18">
        <v>6500</v>
      </c>
      <c r="G167" s="14">
        <v>6251</v>
      </c>
      <c r="H167" s="14">
        <v>6005</v>
      </c>
      <c r="I167" s="14">
        <v>5950</v>
      </c>
      <c r="J167" s="14">
        <v>6587</v>
      </c>
      <c r="K167" s="14">
        <v>7508</v>
      </c>
      <c r="L167" s="14">
        <v>8107</v>
      </c>
      <c r="M167" s="14">
        <v>8504</v>
      </c>
      <c r="N167" s="14">
        <v>2499</v>
      </c>
      <c r="O167" s="15">
        <v>0.41615320566194836</v>
      </c>
      <c r="P167" s="25">
        <v>-0.08461538461538462</v>
      </c>
      <c r="Q167" s="23">
        <v>3552</v>
      </c>
      <c r="R167" s="14">
        <v>2487</v>
      </c>
      <c r="S167" s="14">
        <v>2092</v>
      </c>
      <c r="T167" s="14">
        <v>1962</v>
      </c>
      <c r="U167" s="17">
        <v>2008</v>
      </c>
      <c r="V167" s="17">
        <v>1973</v>
      </c>
      <c r="W167" s="17">
        <v>2032</v>
      </c>
      <c r="X167" s="17">
        <v>1981</v>
      </c>
      <c r="Y167" s="14">
        <v>-111</v>
      </c>
      <c r="Z167" s="15">
        <v>-0.44763513513513514</v>
      </c>
      <c r="AA167" s="25"/>
      <c r="AB167" s="18">
        <v>10012</v>
      </c>
      <c r="AC167" s="14">
        <v>6454</v>
      </c>
      <c r="AD167" s="14">
        <v>5184</v>
      </c>
      <c r="AE167" s="14">
        <v>4751</v>
      </c>
      <c r="AF167" s="14">
        <v>10</v>
      </c>
      <c r="AG167" s="14">
        <v>4650</v>
      </c>
      <c r="AH167" s="14">
        <v>4650</v>
      </c>
      <c r="AI167" s="14">
        <v>4500</v>
      </c>
      <c r="AJ167" s="14">
        <v>-684</v>
      </c>
      <c r="AK167" s="15">
        <v>-0.5254694366759888</v>
      </c>
      <c r="AL167" s="26"/>
      <c r="AM167" s="18">
        <v>20950</v>
      </c>
      <c r="AN167" s="14">
        <v>21743</v>
      </c>
      <c r="AO167" s="14">
        <v>22780</v>
      </c>
      <c r="AP167" s="14">
        <v>23319</v>
      </c>
      <c r="AQ167" s="14">
        <v>25780</v>
      </c>
      <c r="AR167" s="14">
        <v>28128</v>
      </c>
      <c r="AS167" s="14">
        <v>28761</v>
      </c>
      <c r="AT167" s="35">
        <v>7018</v>
      </c>
      <c r="AU167" s="18">
        <v>1061</v>
      </c>
      <c r="AV167" s="14">
        <v>1170</v>
      </c>
      <c r="AW167" s="14">
        <v>1476</v>
      </c>
      <c r="AX167" s="14">
        <v>1799</v>
      </c>
      <c r="AY167" s="14">
        <v>2015</v>
      </c>
      <c r="AZ167" s="14">
        <v>2169</v>
      </c>
      <c r="BA167" s="14">
        <v>1108</v>
      </c>
      <c r="BB167" s="34">
        <v>1.0442978322337417</v>
      </c>
    </row>
    <row r="168" spans="2:54" ht="15" customHeight="1">
      <c r="B168" s="19" t="s">
        <v>14</v>
      </c>
      <c r="C168" s="20"/>
      <c r="D168" s="20"/>
      <c r="E168" s="22">
        <v>152</v>
      </c>
      <c r="F168" s="18">
        <v>112</v>
      </c>
      <c r="G168" s="14">
        <v>113</v>
      </c>
      <c r="H168" s="14">
        <v>110</v>
      </c>
      <c r="I168" s="14">
        <v>108</v>
      </c>
      <c r="J168" s="14">
        <v>117</v>
      </c>
      <c r="K168" s="14">
        <v>124</v>
      </c>
      <c r="L168" s="14">
        <v>147</v>
      </c>
      <c r="M168" s="14">
        <v>167</v>
      </c>
      <c r="N168" s="14">
        <v>57</v>
      </c>
      <c r="O168" s="15">
        <v>0.5181818181818182</v>
      </c>
      <c r="P168" s="25">
        <v>-0.03571428571428571</v>
      </c>
      <c r="Q168" s="23">
        <v>62</v>
      </c>
      <c r="R168" s="14">
        <v>38</v>
      </c>
      <c r="S168" s="14">
        <v>37</v>
      </c>
      <c r="T168" s="14">
        <v>30</v>
      </c>
      <c r="U168" s="17">
        <v>28</v>
      </c>
      <c r="V168" s="17">
        <v>22</v>
      </c>
      <c r="W168" s="17">
        <v>30</v>
      </c>
      <c r="X168" s="17">
        <v>37</v>
      </c>
      <c r="Y168" s="14">
        <v>0</v>
      </c>
      <c r="Z168" s="15">
        <v>-0.5161290322580645</v>
      </c>
      <c r="AA168" s="25"/>
      <c r="AB168" s="18">
        <v>150</v>
      </c>
      <c r="AC168" s="14">
        <v>82</v>
      </c>
      <c r="AD168" s="14">
        <v>72</v>
      </c>
      <c r="AE168" s="14">
        <v>57</v>
      </c>
      <c r="AF168" s="14">
        <v>4854</v>
      </c>
      <c r="AG168" s="14">
        <v>40</v>
      </c>
      <c r="AH168" s="14">
        <v>55</v>
      </c>
      <c r="AI168" s="14">
        <v>71</v>
      </c>
      <c r="AJ168" s="14">
        <v>-1</v>
      </c>
      <c r="AK168" s="15">
        <v>-0.62</v>
      </c>
      <c r="AL168" s="26"/>
      <c r="AM168" s="18">
        <v>915</v>
      </c>
      <c r="AN168" s="14">
        <v>942</v>
      </c>
      <c r="AO168" s="14">
        <v>979</v>
      </c>
      <c r="AP168" s="14">
        <v>998</v>
      </c>
      <c r="AQ168" s="14">
        <v>1129</v>
      </c>
      <c r="AR168" s="14">
        <v>1237</v>
      </c>
      <c r="AS168" s="14">
        <v>1360</v>
      </c>
      <c r="AT168" s="35">
        <v>418</v>
      </c>
      <c r="AU168" s="18">
        <v>22</v>
      </c>
      <c r="AV168" s="14">
        <v>27</v>
      </c>
      <c r="AW168" s="14">
        <v>33</v>
      </c>
      <c r="AX168" s="14">
        <v>37</v>
      </c>
      <c r="AY168" s="14">
        <v>47</v>
      </c>
      <c r="AZ168" s="14">
        <v>60</v>
      </c>
      <c r="BA168" s="14">
        <v>38</v>
      </c>
      <c r="BB168" s="34">
        <v>1.7272727272727273</v>
      </c>
    </row>
    <row r="169" spans="2:54" ht="15" customHeight="1">
      <c r="B169" s="19" t="s">
        <v>15</v>
      </c>
      <c r="C169" s="20"/>
      <c r="D169" s="20"/>
      <c r="E169" s="22">
        <v>153</v>
      </c>
      <c r="F169" s="18">
        <v>148</v>
      </c>
      <c r="G169" s="14">
        <v>134</v>
      </c>
      <c r="H169" s="14">
        <v>133</v>
      </c>
      <c r="I169" s="14">
        <v>138</v>
      </c>
      <c r="J169" s="14">
        <v>140</v>
      </c>
      <c r="K169" s="14">
        <v>156</v>
      </c>
      <c r="L169" s="14">
        <v>174</v>
      </c>
      <c r="M169" s="14">
        <v>196</v>
      </c>
      <c r="N169" s="14">
        <v>63</v>
      </c>
      <c r="O169" s="15">
        <v>0.47368421052631576</v>
      </c>
      <c r="P169" s="25">
        <v>-0.06756756756756757</v>
      </c>
      <c r="Q169" s="23">
        <v>76</v>
      </c>
      <c r="R169" s="14">
        <v>47</v>
      </c>
      <c r="S169" s="14">
        <v>43</v>
      </c>
      <c r="T169" s="14">
        <v>34</v>
      </c>
      <c r="U169" s="17">
        <v>32</v>
      </c>
      <c r="V169" s="17">
        <v>33</v>
      </c>
      <c r="W169" s="17">
        <v>42</v>
      </c>
      <c r="X169" s="17">
        <v>42</v>
      </c>
      <c r="Y169" s="14">
        <v>-1</v>
      </c>
      <c r="Z169" s="15">
        <v>-0.5526315789473685</v>
      </c>
      <c r="AA169" s="25"/>
      <c r="AB169" s="18">
        <v>182</v>
      </c>
      <c r="AC169" s="14">
        <v>106</v>
      </c>
      <c r="AD169" s="14">
        <v>93</v>
      </c>
      <c r="AE169" s="14">
        <v>74</v>
      </c>
      <c r="AF169" s="14">
        <v>54</v>
      </c>
      <c r="AG169" s="14">
        <v>72</v>
      </c>
      <c r="AH169" s="14">
        <v>88</v>
      </c>
      <c r="AI169" s="14">
        <v>91</v>
      </c>
      <c r="AJ169" s="14">
        <v>-2</v>
      </c>
      <c r="AK169" s="15">
        <v>-0.5934065934065934</v>
      </c>
      <c r="AL169" s="26"/>
      <c r="AM169" s="18">
        <v>820</v>
      </c>
      <c r="AN169" s="14">
        <v>862</v>
      </c>
      <c r="AO169" s="14">
        <v>888</v>
      </c>
      <c r="AP169" s="14">
        <v>936</v>
      </c>
      <c r="AQ169" s="14">
        <v>1130</v>
      </c>
      <c r="AR169" s="14">
        <v>1317</v>
      </c>
      <c r="AS169" s="14">
        <v>1381</v>
      </c>
      <c r="AT169" s="35">
        <v>519</v>
      </c>
      <c r="AU169" s="18">
        <v>25</v>
      </c>
      <c r="AV169" s="14">
        <v>37</v>
      </c>
      <c r="AW169" s="14">
        <v>39</v>
      </c>
      <c r="AX169" s="14">
        <v>59</v>
      </c>
      <c r="AY169" s="14">
        <v>74</v>
      </c>
      <c r="AZ169" s="14">
        <v>81</v>
      </c>
      <c r="BA169" s="14">
        <v>56</v>
      </c>
      <c r="BB169" s="34">
        <v>2.24</v>
      </c>
    </row>
    <row r="170" spans="2:54" ht="15" customHeight="1">
      <c r="B170" s="19" t="s">
        <v>16</v>
      </c>
      <c r="C170" s="20" t="s">
        <v>63</v>
      </c>
      <c r="D170" s="20"/>
      <c r="E170" s="22">
        <v>155</v>
      </c>
      <c r="F170" s="18">
        <v>938</v>
      </c>
      <c r="G170" s="14">
        <v>904</v>
      </c>
      <c r="H170" s="14">
        <v>903</v>
      </c>
      <c r="I170" s="14">
        <v>848</v>
      </c>
      <c r="J170" s="14">
        <v>875</v>
      </c>
      <c r="K170" s="14">
        <v>919</v>
      </c>
      <c r="L170" s="14">
        <v>975</v>
      </c>
      <c r="M170" s="14">
        <v>1036</v>
      </c>
      <c r="N170" s="14">
        <v>133</v>
      </c>
      <c r="O170" s="15">
        <v>0.14728682170542637</v>
      </c>
      <c r="P170" s="25">
        <v>-0.09594882729211088</v>
      </c>
      <c r="Q170" s="23">
        <v>378</v>
      </c>
      <c r="R170" s="14">
        <v>241</v>
      </c>
      <c r="S170" s="14">
        <v>185</v>
      </c>
      <c r="T170" s="14">
        <v>160</v>
      </c>
      <c r="U170" s="17">
        <v>157</v>
      </c>
      <c r="V170" s="17">
        <v>147</v>
      </c>
      <c r="W170" s="17">
        <v>157</v>
      </c>
      <c r="X170" s="17">
        <v>158</v>
      </c>
      <c r="Y170" s="14">
        <v>-27</v>
      </c>
      <c r="Z170" s="15">
        <v>-0.5767195767195767</v>
      </c>
      <c r="AA170" s="25"/>
      <c r="AB170" s="18">
        <v>1021</v>
      </c>
      <c r="AC170" s="14">
        <v>598</v>
      </c>
      <c r="AD170" s="14">
        <v>430</v>
      </c>
      <c r="AE170" s="14">
        <v>351</v>
      </c>
      <c r="AF170" s="14">
        <v>67</v>
      </c>
      <c r="AG170" s="14">
        <v>297</v>
      </c>
      <c r="AH170" s="14">
        <v>318</v>
      </c>
      <c r="AI170" s="14">
        <v>351</v>
      </c>
      <c r="AJ170" s="14">
        <v>-79</v>
      </c>
      <c r="AK170" s="15">
        <v>-0.6562193927522038</v>
      </c>
      <c r="AL170" s="26"/>
      <c r="AM170" s="18">
        <v>3766</v>
      </c>
      <c r="AN170" s="14">
        <v>3873</v>
      </c>
      <c r="AO170" s="14">
        <v>3983</v>
      </c>
      <c r="AP170" s="14">
        <v>3952</v>
      </c>
      <c r="AQ170" s="14">
        <v>4297</v>
      </c>
      <c r="AR170" s="14">
        <v>4555</v>
      </c>
      <c r="AS170" s="14">
        <v>4630</v>
      </c>
      <c r="AT170" s="35">
        <v>757</v>
      </c>
      <c r="AU170" s="18">
        <v>162</v>
      </c>
      <c r="AV170" s="14">
        <v>176</v>
      </c>
      <c r="AW170" s="14">
        <v>198</v>
      </c>
      <c r="AX170" s="14">
        <v>202</v>
      </c>
      <c r="AY170" s="14">
        <v>191</v>
      </c>
      <c r="AZ170" s="14">
        <v>209</v>
      </c>
      <c r="BA170" s="14">
        <v>47</v>
      </c>
      <c r="BB170" s="34">
        <v>0.29012345679012347</v>
      </c>
    </row>
    <row r="171" spans="2:54" ht="15" customHeight="1">
      <c r="B171" s="19" t="s">
        <v>17</v>
      </c>
      <c r="C171" s="20" t="s">
        <v>63</v>
      </c>
      <c r="D171" s="20"/>
      <c r="E171" s="22">
        <v>156</v>
      </c>
      <c r="F171" s="18">
        <v>2007</v>
      </c>
      <c r="G171" s="14">
        <v>1930</v>
      </c>
      <c r="H171" s="14">
        <v>1761</v>
      </c>
      <c r="I171" s="14">
        <v>1722</v>
      </c>
      <c r="J171" s="14">
        <v>1734</v>
      </c>
      <c r="K171" s="14">
        <v>1809</v>
      </c>
      <c r="L171" s="14">
        <v>1970</v>
      </c>
      <c r="M171" s="14">
        <v>2077</v>
      </c>
      <c r="N171" s="14">
        <v>316</v>
      </c>
      <c r="O171" s="15">
        <v>0.1794434980124929</v>
      </c>
      <c r="P171" s="25">
        <v>-0.14200298953662183</v>
      </c>
      <c r="Q171" s="23">
        <v>1162</v>
      </c>
      <c r="R171" s="14">
        <v>886</v>
      </c>
      <c r="S171" s="14">
        <v>654</v>
      </c>
      <c r="T171" s="14">
        <v>599</v>
      </c>
      <c r="U171" s="17">
        <v>545</v>
      </c>
      <c r="V171" s="17">
        <v>490</v>
      </c>
      <c r="W171" s="17">
        <v>513</v>
      </c>
      <c r="X171" s="17">
        <v>486</v>
      </c>
      <c r="Y171" s="14">
        <v>-168</v>
      </c>
      <c r="Z171" s="15">
        <v>-0.4845094664371773</v>
      </c>
      <c r="AA171" s="25"/>
      <c r="AB171" s="18">
        <v>3072</v>
      </c>
      <c r="AC171" s="14">
        <v>2243</v>
      </c>
      <c r="AD171" s="14">
        <v>1554</v>
      </c>
      <c r="AE171" s="14">
        <v>1393</v>
      </c>
      <c r="AF171" s="14">
        <v>343</v>
      </c>
      <c r="AG171" s="14">
        <v>1047</v>
      </c>
      <c r="AH171" s="14">
        <v>1079</v>
      </c>
      <c r="AI171" s="14">
        <v>995</v>
      </c>
      <c r="AJ171" s="14">
        <v>-559</v>
      </c>
      <c r="AK171" s="15">
        <v>-0.5465494791666666</v>
      </c>
      <c r="AL171" s="26"/>
      <c r="AM171" s="18">
        <v>6681</v>
      </c>
      <c r="AN171" s="14">
        <v>6834</v>
      </c>
      <c r="AO171" s="14">
        <v>6826</v>
      </c>
      <c r="AP171" s="14">
        <v>6971</v>
      </c>
      <c r="AQ171" s="14">
        <v>7461</v>
      </c>
      <c r="AR171" s="14">
        <v>7954</v>
      </c>
      <c r="AS171" s="14">
        <v>8262</v>
      </c>
      <c r="AT171" s="35">
        <v>1428</v>
      </c>
      <c r="AU171" s="18">
        <v>361</v>
      </c>
      <c r="AV171" s="14">
        <v>416</v>
      </c>
      <c r="AW171" s="14">
        <v>470</v>
      </c>
      <c r="AX171" s="14">
        <v>551</v>
      </c>
      <c r="AY171" s="14">
        <v>542</v>
      </c>
      <c r="AZ171" s="14">
        <v>605</v>
      </c>
      <c r="BA171" s="14">
        <v>244</v>
      </c>
      <c r="BB171" s="34">
        <v>0.6759002770083102</v>
      </c>
    </row>
    <row r="172" spans="2:54" ht="15" customHeight="1">
      <c r="B172" s="19" t="s">
        <v>18</v>
      </c>
      <c r="C172" s="20">
        <v>1</v>
      </c>
      <c r="D172" s="20" t="s">
        <v>75</v>
      </c>
      <c r="E172" s="21">
        <v>154</v>
      </c>
      <c r="F172" s="18">
        <v>84</v>
      </c>
      <c r="G172" s="14">
        <v>81</v>
      </c>
      <c r="H172" s="14">
        <v>81</v>
      </c>
      <c r="I172" s="14">
        <v>76</v>
      </c>
      <c r="J172" s="14">
        <v>70</v>
      </c>
      <c r="K172" s="14">
        <v>70</v>
      </c>
      <c r="L172" s="14">
        <v>83</v>
      </c>
      <c r="M172" s="14">
        <v>74</v>
      </c>
      <c r="N172" s="14">
        <v>-7</v>
      </c>
      <c r="O172" s="15">
        <v>-0.08641975308641975</v>
      </c>
      <c r="P172" s="25">
        <v>-0.09523809523809523</v>
      </c>
      <c r="Q172" s="23">
        <v>23</v>
      </c>
      <c r="R172" s="14">
        <v>16</v>
      </c>
      <c r="S172" s="14">
        <v>11</v>
      </c>
      <c r="T172" s="14">
        <v>10</v>
      </c>
      <c r="U172" s="17">
        <v>10</v>
      </c>
      <c r="V172" s="17">
        <v>9</v>
      </c>
      <c r="W172" s="17">
        <v>11</v>
      </c>
      <c r="X172" s="17">
        <v>10</v>
      </c>
      <c r="Y172" s="14">
        <v>-1</v>
      </c>
      <c r="Z172" s="15">
        <v>-0.5652173913043478</v>
      </c>
      <c r="AA172" s="25"/>
      <c r="AB172" s="18">
        <v>54</v>
      </c>
      <c r="AC172" s="14">
        <v>36</v>
      </c>
      <c r="AD172" s="14">
        <v>23</v>
      </c>
      <c r="AE172" s="14">
        <v>18</v>
      </c>
      <c r="AF172" s="14">
        <v>1208</v>
      </c>
      <c r="AG172" s="14">
        <v>17</v>
      </c>
      <c r="AH172" s="14">
        <v>21</v>
      </c>
      <c r="AI172" s="14">
        <v>19</v>
      </c>
      <c r="AJ172" s="14">
        <v>-4</v>
      </c>
      <c r="AK172" s="15">
        <v>-0.6666666666666666</v>
      </c>
      <c r="AL172" s="26"/>
      <c r="AM172" s="18">
        <v>273</v>
      </c>
      <c r="AN172" s="14">
        <v>291</v>
      </c>
      <c r="AO172" s="14">
        <v>302</v>
      </c>
      <c r="AP172" s="14">
        <v>315</v>
      </c>
      <c r="AQ172" s="14">
        <v>369</v>
      </c>
      <c r="AR172" s="14">
        <v>424</v>
      </c>
      <c r="AS172" s="14">
        <v>444</v>
      </c>
      <c r="AT172" s="35">
        <v>153</v>
      </c>
      <c r="AU172" s="18">
        <v>19</v>
      </c>
      <c r="AV172" s="14">
        <v>19</v>
      </c>
      <c r="AW172" s="14">
        <v>22</v>
      </c>
      <c r="AX172" s="14">
        <v>24</v>
      </c>
      <c r="AY172" s="14">
        <v>28</v>
      </c>
      <c r="AZ172" s="14">
        <v>22</v>
      </c>
      <c r="BA172" s="14">
        <v>3</v>
      </c>
      <c r="BB172" s="34">
        <v>0.15789473684210525</v>
      </c>
    </row>
    <row r="173" spans="2:54" ht="15" customHeight="1">
      <c r="B173" s="19" t="s">
        <v>19</v>
      </c>
      <c r="C173" s="20"/>
      <c r="D173" s="20"/>
      <c r="E173" s="21">
        <v>157</v>
      </c>
      <c r="F173" s="18">
        <v>7</v>
      </c>
      <c r="G173" s="14">
        <v>9</v>
      </c>
      <c r="H173" s="14">
        <v>8</v>
      </c>
      <c r="I173" s="14">
        <v>4</v>
      </c>
      <c r="J173" s="14">
        <v>5</v>
      </c>
      <c r="K173" s="14">
        <v>3</v>
      </c>
      <c r="L173" s="14">
        <v>5</v>
      </c>
      <c r="M173" s="14">
        <v>4</v>
      </c>
      <c r="N173" s="14">
        <v>-4</v>
      </c>
      <c r="O173" s="15">
        <v>-0.5</v>
      </c>
      <c r="P173" s="25">
        <v>-0.42857142857142855</v>
      </c>
      <c r="Q173" s="23">
        <v>5</v>
      </c>
      <c r="R173" s="14">
        <v>4</v>
      </c>
      <c r="S173" s="14">
        <v>3</v>
      </c>
      <c r="T173" s="14">
        <v>3</v>
      </c>
      <c r="U173" s="17">
        <v>3</v>
      </c>
      <c r="V173" s="17">
        <v>5</v>
      </c>
      <c r="W173" s="17">
        <v>3</v>
      </c>
      <c r="X173" s="17">
        <v>1</v>
      </c>
      <c r="Y173" s="14">
        <v>-2</v>
      </c>
      <c r="Z173" s="15">
        <v>-0.4</v>
      </c>
      <c r="AA173" s="25"/>
      <c r="AB173" s="18">
        <v>12</v>
      </c>
      <c r="AC173" s="14">
        <v>8</v>
      </c>
      <c r="AD173" s="14">
        <v>6</v>
      </c>
      <c r="AE173" s="14">
        <v>5</v>
      </c>
      <c r="AF173" s="14">
        <v>20</v>
      </c>
      <c r="AG173" s="14">
        <v>9</v>
      </c>
      <c r="AH173" s="14">
        <v>5</v>
      </c>
      <c r="AI173" s="14">
        <v>1</v>
      </c>
      <c r="AJ173" s="14">
        <v>-5</v>
      </c>
      <c r="AK173" s="15">
        <v>-0.5833333333333334</v>
      </c>
      <c r="AL173" s="26"/>
      <c r="AM173" s="18">
        <v>36</v>
      </c>
      <c r="AN173" s="14">
        <v>45</v>
      </c>
      <c r="AO173" s="14">
        <v>55</v>
      </c>
      <c r="AP173" s="14">
        <v>52</v>
      </c>
      <c r="AQ173" s="14">
        <v>64</v>
      </c>
      <c r="AR173" s="14">
        <v>73</v>
      </c>
      <c r="AS173" s="14">
        <v>63</v>
      </c>
      <c r="AT173" s="35">
        <v>18</v>
      </c>
      <c r="AU173" s="18">
        <v>3</v>
      </c>
      <c r="AV173" s="14">
        <v>1</v>
      </c>
      <c r="AW173" s="14">
        <v>3</v>
      </c>
      <c r="AX173" s="14">
        <v>4</v>
      </c>
      <c r="AY173" s="14">
        <v>5</v>
      </c>
      <c r="AZ173" s="14">
        <v>4</v>
      </c>
      <c r="BA173" s="14">
        <v>1</v>
      </c>
      <c r="BB173" s="34">
        <v>0.3333333333333333</v>
      </c>
    </row>
    <row r="174" spans="2:54" ht="15" customHeight="1">
      <c r="B174" s="19" t="s">
        <v>20</v>
      </c>
      <c r="C174" s="20"/>
      <c r="D174" s="20"/>
      <c r="E174" s="22">
        <v>158</v>
      </c>
      <c r="F174" s="18">
        <v>70</v>
      </c>
      <c r="G174" s="14">
        <v>72</v>
      </c>
      <c r="H174" s="14">
        <v>65</v>
      </c>
      <c r="I174" s="14">
        <v>54</v>
      </c>
      <c r="J174" s="14">
        <v>63</v>
      </c>
      <c r="K174" s="14">
        <v>61</v>
      </c>
      <c r="L174" s="14">
        <v>59</v>
      </c>
      <c r="M174" s="14">
        <v>63</v>
      </c>
      <c r="N174" s="14">
        <v>-2</v>
      </c>
      <c r="O174" s="15">
        <v>-0.03076923076923077</v>
      </c>
      <c r="P174" s="25">
        <v>-0.22857142857142856</v>
      </c>
      <c r="Q174" s="23">
        <v>26</v>
      </c>
      <c r="R174" s="14">
        <v>16</v>
      </c>
      <c r="S174" s="14">
        <v>14</v>
      </c>
      <c r="T174" s="14">
        <v>9</v>
      </c>
      <c r="U174" s="17">
        <v>13</v>
      </c>
      <c r="V174" s="17">
        <v>14</v>
      </c>
      <c r="W174" s="17">
        <v>9</v>
      </c>
      <c r="X174" s="17">
        <v>8</v>
      </c>
      <c r="Y174" s="14">
        <v>-6</v>
      </c>
      <c r="Z174" s="15">
        <v>-0.6538461538461539</v>
      </c>
      <c r="AA174" s="25"/>
      <c r="AB174" s="18">
        <v>62</v>
      </c>
      <c r="AC174" s="14">
        <v>38</v>
      </c>
      <c r="AD174" s="14">
        <v>28</v>
      </c>
      <c r="AE174" s="14">
        <v>19</v>
      </c>
      <c r="AF174" s="14">
        <v>6</v>
      </c>
      <c r="AG174" s="14">
        <v>34</v>
      </c>
      <c r="AH174" s="14">
        <v>17</v>
      </c>
      <c r="AI174" s="14">
        <v>13</v>
      </c>
      <c r="AJ174" s="14">
        <v>-15</v>
      </c>
      <c r="AK174" s="15">
        <v>-0.6935483870967742</v>
      </c>
      <c r="AL174" s="26"/>
      <c r="AM174" s="18">
        <v>365</v>
      </c>
      <c r="AN174" s="14">
        <v>341</v>
      </c>
      <c r="AO174" s="14">
        <v>351</v>
      </c>
      <c r="AP174" s="14">
        <v>364</v>
      </c>
      <c r="AQ174" s="14">
        <v>433</v>
      </c>
      <c r="AR174" s="14">
        <v>475</v>
      </c>
      <c r="AS174" s="14">
        <v>489</v>
      </c>
      <c r="AT174" s="35">
        <v>148</v>
      </c>
      <c r="AU174" s="18">
        <v>26</v>
      </c>
      <c r="AV174" s="14">
        <v>19</v>
      </c>
      <c r="AW174" s="14">
        <v>26</v>
      </c>
      <c r="AX174" s="14">
        <v>29</v>
      </c>
      <c r="AY174" s="14">
        <v>26</v>
      </c>
      <c r="AZ174" s="14">
        <v>33</v>
      </c>
      <c r="BA174" s="14">
        <v>7</v>
      </c>
      <c r="BB174" s="34">
        <v>0.2692307692307692</v>
      </c>
    </row>
    <row r="175" spans="2:54" ht="15" customHeight="1">
      <c r="B175" s="19" t="s">
        <v>21</v>
      </c>
      <c r="C175" s="20"/>
      <c r="D175" s="20"/>
      <c r="E175" s="22">
        <v>159</v>
      </c>
      <c r="F175" s="18">
        <v>277</v>
      </c>
      <c r="G175" s="14">
        <v>283</v>
      </c>
      <c r="H175" s="14">
        <v>244</v>
      </c>
      <c r="I175" s="14">
        <v>237</v>
      </c>
      <c r="J175" s="14">
        <v>253</v>
      </c>
      <c r="K175" s="14">
        <v>287</v>
      </c>
      <c r="L175" s="14">
        <v>328</v>
      </c>
      <c r="M175" s="14">
        <v>356</v>
      </c>
      <c r="N175" s="14">
        <v>112</v>
      </c>
      <c r="O175" s="15">
        <v>0.45901639344262296</v>
      </c>
      <c r="P175" s="25">
        <v>-0.1444043321299639</v>
      </c>
      <c r="Q175" s="23">
        <v>101</v>
      </c>
      <c r="R175" s="14">
        <v>76</v>
      </c>
      <c r="S175" s="14">
        <v>47</v>
      </c>
      <c r="T175" s="14">
        <v>45</v>
      </c>
      <c r="U175" s="17">
        <v>39</v>
      </c>
      <c r="V175" s="17">
        <v>47</v>
      </c>
      <c r="W175" s="17">
        <v>53</v>
      </c>
      <c r="X175" s="17">
        <v>52</v>
      </c>
      <c r="Y175" s="14">
        <v>5</v>
      </c>
      <c r="Z175" s="15">
        <v>-0.5544554455445545</v>
      </c>
      <c r="AA175" s="25"/>
      <c r="AB175" s="18">
        <v>252</v>
      </c>
      <c r="AC175" s="14">
        <v>183</v>
      </c>
      <c r="AD175" s="14">
        <v>101</v>
      </c>
      <c r="AE175" s="14">
        <v>96</v>
      </c>
      <c r="AF175" s="14">
        <v>28</v>
      </c>
      <c r="AG175" s="14">
        <v>97</v>
      </c>
      <c r="AH175" s="14">
        <v>117</v>
      </c>
      <c r="AI175" s="14">
        <v>118</v>
      </c>
      <c r="AJ175" s="14">
        <v>17</v>
      </c>
      <c r="AK175" s="15">
        <v>-0.6190476190476191</v>
      </c>
      <c r="AL175" s="26"/>
      <c r="AM175" s="18">
        <v>1038</v>
      </c>
      <c r="AN175" s="14">
        <v>1064</v>
      </c>
      <c r="AO175" s="14">
        <v>1069</v>
      </c>
      <c r="AP175" s="14">
        <v>1116</v>
      </c>
      <c r="AQ175" s="14">
        <v>1273</v>
      </c>
      <c r="AR175" s="14">
        <v>1475</v>
      </c>
      <c r="AS175" s="14">
        <v>1552</v>
      </c>
      <c r="AT175" s="35">
        <v>488</v>
      </c>
      <c r="AU175" s="18">
        <v>47</v>
      </c>
      <c r="AV175" s="14">
        <v>54</v>
      </c>
      <c r="AW175" s="14">
        <v>62</v>
      </c>
      <c r="AX175" s="14">
        <v>66</v>
      </c>
      <c r="AY175" s="14">
        <v>69</v>
      </c>
      <c r="AZ175" s="14">
        <v>79</v>
      </c>
      <c r="BA175" s="14">
        <v>32</v>
      </c>
      <c r="BB175" s="34">
        <v>0.6808510638297872</v>
      </c>
    </row>
    <row r="176" spans="2:54" ht="15" customHeight="1">
      <c r="B176" s="19" t="s">
        <v>22</v>
      </c>
      <c r="C176" s="20">
        <v>1</v>
      </c>
      <c r="D176" s="20" t="s">
        <v>47</v>
      </c>
      <c r="E176" s="21">
        <v>160</v>
      </c>
      <c r="F176" s="18">
        <v>31</v>
      </c>
      <c r="G176" s="14">
        <v>27</v>
      </c>
      <c r="H176" s="14">
        <v>27</v>
      </c>
      <c r="I176" s="14">
        <v>25</v>
      </c>
      <c r="J176" s="14">
        <v>26</v>
      </c>
      <c r="K176" s="14">
        <v>24</v>
      </c>
      <c r="L176" s="14">
        <v>31</v>
      </c>
      <c r="M176" s="14">
        <v>42</v>
      </c>
      <c r="N176" s="14">
        <v>15</v>
      </c>
      <c r="O176" s="15">
        <v>0.5555555555555556</v>
      </c>
      <c r="P176" s="25">
        <v>-0.1935483870967742</v>
      </c>
      <c r="Q176" s="23">
        <v>18</v>
      </c>
      <c r="R176" s="14">
        <v>10</v>
      </c>
      <c r="S176" s="14">
        <v>9</v>
      </c>
      <c r="T176" s="14">
        <v>10</v>
      </c>
      <c r="U176" s="17">
        <v>10</v>
      </c>
      <c r="V176" s="17">
        <v>9</v>
      </c>
      <c r="W176" s="17">
        <v>9</v>
      </c>
      <c r="X176" s="17">
        <v>12</v>
      </c>
      <c r="Y176" s="14">
        <v>3</v>
      </c>
      <c r="Z176" s="15">
        <v>-0.4444444444444444</v>
      </c>
      <c r="AA176" s="25"/>
      <c r="AB176" s="18">
        <v>41</v>
      </c>
      <c r="AC176" s="14">
        <v>20</v>
      </c>
      <c r="AD176" s="14">
        <v>21</v>
      </c>
      <c r="AE176" s="14">
        <v>17</v>
      </c>
      <c r="AF176" s="14">
        <v>83</v>
      </c>
      <c r="AG176" s="14">
        <v>20</v>
      </c>
      <c r="AH176" s="14">
        <v>19</v>
      </c>
      <c r="AI176" s="14">
        <v>26</v>
      </c>
      <c r="AJ176" s="14">
        <v>5</v>
      </c>
      <c r="AK176" s="15">
        <v>-0.5853658536585366</v>
      </c>
      <c r="AL176" s="26"/>
      <c r="AM176" s="18">
        <v>160</v>
      </c>
      <c r="AN176" s="14">
        <v>164</v>
      </c>
      <c r="AO176" s="14">
        <v>168</v>
      </c>
      <c r="AP176" s="14">
        <v>181</v>
      </c>
      <c r="AQ176" s="14">
        <v>233</v>
      </c>
      <c r="AR176" s="14">
        <v>249</v>
      </c>
      <c r="AS176" s="14">
        <v>285</v>
      </c>
      <c r="AT176" s="35">
        <v>121</v>
      </c>
      <c r="AU176" s="18">
        <v>11</v>
      </c>
      <c r="AV176" s="14">
        <v>11</v>
      </c>
      <c r="AW176" s="14">
        <v>9</v>
      </c>
      <c r="AX176" s="14">
        <v>9</v>
      </c>
      <c r="AY176" s="14">
        <v>13</v>
      </c>
      <c r="AZ176" s="14">
        <v>17</v>
      </c>
      <c r="BA176" s="14">
        <v>6</v>
      </c>
      <c r="BB176" s="34">
        <v>0.5454545454545454</v>
      </c>
    </row>
    <row r="177" spans="2:54" ht="15" customHeight="1">
      <c r="B177" s="19" t="s">
        <v>23</v>
      </c>
      <c r="C177" s="20"/>
      <c r="D177" s="20"/>
      <c r="E177" s="22">
        <v>161</v>
      </c>
      <c r="F177" s="18">
        <v>10</v>
      </c>
      <c r="G177" s="14">
        <v>8</v>
      </c>
      <c r="H177" s="14">
        <v>5</v>
      </c>
      <c r="I177" s="14">
        <v>9</v>
      </c>
      <c r="J177" s="14">
        <v>12</v>
      </c>
      <c r="K177" s="14">
        <v>13</v>
      </c>
      <c r="L177" s="14">
        <v>14</v>
      </c>
      <c r="M177" s="14">
        <v>12</v>
      </c>
      <c r="N177" s="14">
        <v>7</v>
      </c>
      <c r="O177" s="15">
        <v>1.4</v>
      </c>
      <c r="P177" s="25">
        <v>-0.1</v>
      </c>
      <c r="Q177" s="23">
        <v>7</v>
      </c>
      <c r="R177" s="14">
        <v>5</v>
      </c>
      <c r="S177" s="14">
        <v>5</v>
      </c>
      <c r="T177" s="14">
        <v>4</v>
      </c>
      <c r="U177" s="17">
        <v>2</v>
      </c>
      <c r="V177" s="17">
        <v>1</v>
      </c>
      <c r="W177" s="17">
        <v>0</v>
      </c>
      <c r="X177" s="17">
        <v>0</v>
      </c>
      <c r="Y177" s="14">
        <v>-5</v>
      </c>
      <c r="Z177" s="15">
        <v>-0.42857142857142855</v>
      </c>
      <c r="AA177" s="25"/>
      <c r="AB177" s="18">
        <v>14</v>
      </c>
      <c r="AC177" s="14">
        <v>9</v>
      </c>
      <c r="AD177" s="14">
        <v>9</v>
      </c>
      <c r="AE177" s="14">
        <v>12</v>
      </c>
      <c r="AF177" s="14">
        <v>19</v>
      </c>
      <c r="AG177" s="14">
        <v>2</v>
      </c>
      <c r="AH177" s="14">
        <v>2</v>
      </c>
      <c r="AI177" s="14">
        <v>0</v>
      </c>
      <c r="AJ177" s="14">
        <v>-9</v>
      </c>
      <c r="AK177" s="15">
        <v>-0.14285714285714285</v>
      </c>
      <c r="AL177" s="26"/>
      <c r="AM177" s="18">
        <v>258</v>
      </c>
      <c r="AN177" s="14">
        <v>291</v>
      </c>
      <c r="AO177" s="14">
        <v>287</v>
      </c>
      <c r="AP177" s="14">
        <v>302</v>
      </c>
      <c r="AQ177" s="14">
        <v>310</v>
      </c>
      <c r="AR177" s="14">
        <v>345</v>
      </c>
      <c r="AS177" s="14">
        <v>347</v>
      </c>
      <c r="AT177" s="35">
        <v>56</v>
      </c>
      <c r="AU177" s="18">
        <v>4</v>
      </c>
      <c r="AV177" s="14">
        <v>9</v>
      </c>
      <c r="AW177" s="14">
        <v>14</v>
      </c>
      <c r="AX177" s="14">
        <v>11</v>
      </c>
      <c r="AY177" s="14">
        <v>11</v>
      </c>
      <c r="AZ177" s="14">
        <v>8</v>
      </c>
      <c r="BA177" s="14">
        <v>4</v>
      </c>
      <c r="BB177" s="34">
        <v>1</v>
      </c>
    </row>
    <row r="178" spans="2:54" ht="15" customHeight="1">
      <c r="B178" s="19" t="s">
        <v>24</v>
      </c>
      <c r="C178" s="20">
        <v>1</v>
      </c>
      <c r="D178" s="20" t="s">
        <v>52</v>
      </c>
      <c r="E178" s="22">
        <v>162</v>
      </c>
      <c r="F178" s="18">
        <v>244</v>
      </c>
      <c r="G178" s="14">
        <v>230</v>
      </c>
      <c r="H178" s="14">
        <v>222</v>
      </c>
      <c r="I178" s="14">
        <v>218</v>
      </c>
      <c r="J178" s="14">
        <v>241</v>
      </c>
      <c r="K178" s="14">
        <v>288</v>
      </c>
      <c r="L178" s="14">
        <v>307</v>
      </c>
      <c r="M178" s="14">
        <v>303</v>
      </c>
      <c r="N178" s="14">
        <v>81</v>
      </c>
      <c r="O178" s="15">
        <v>0.36486486486486486</v>
      </c>
      <c r="P178" s="25">
        <v>-0.10655737704918032</v>
      </c>
      <c r="Q178" s="23">
        <v>110</v>
      </c>
      <c r="R178" s="14">
        <v>71</v>
      </c>
      <c r="S178" s="14">
        <v>66</v>
      </c>
      <c r="T178" s="14">
        <v>59</v>
      </c>
      <c r="U178" s="17">
        <v>68</v>
      </c>
      <c r="V178" s="17">
        <v>73</v>
      </c>
      <c r="W178" s="17">
        <v>68</v>
      </c>
      <c r="X178" s="17">
        <v>60</v>
      </c>
      <c r="Y178" s="14">
        <v>-6</v>
      </c>
      <c r="Z178" s="15">
        <v>-0.4636363636363636</v>
      </c>
      <c r="AA178" s="25"/>
      <c r="AB178" s="18">
        <v>283</v>
      </c>
      <c r="AC178" s="14">
        <v>172</v>
      </c>
      <c r="AD178" s="14">
        <v>156</v>
      </c>
      <c r="AE178" s="14">
        <v>141</v>
      </c>
      <c r="AF178" s="14">
        <v>6</v>
      </c>
      <c r="AG178" s="14">
        <v>175</v>
      </c>
      <c r="AH178" s="14">
        <v>171</v>
      </c>
      <c r="AI178" s="14">
        <v>152</v>
      </c>
      <c r="AJ178" s="14">
        <v>-4</v>
      </c>
      <c r="AK178" s="15">
        <v>-0.5017667844522968</v>
      </c>
      <c r="AL178" s="26"/>
      <c r="AM178" s="18">
        <v>1035</v>
      </c>
      <c r="AN178" s="14">
        <v>1033</v>
      </c>
      <c r="AO178" s="14">
        <v>1091</v>
      </c>
      <c r="AP178" s="14">
        <v>1142</v>
      </c>
      <c r="AQ178" s="14">
        <v>1415</v>
      </c>
      <c r="AR178" s="14">
        <v>1689</v>
      </c>
      <c r="AS178" s="14">
        <v>1722</v>
      </c>
      <c r="AT178" s="35">
        <v>689</v>
      </c>
      <c r="AU178" s="18">
        <v>37</v>
      </c>
      <c r="AV178" s="14">
        <v>48</v>
      </c>
      <c r="AW178" s="14">
        <v>68</v>
      </c>
      <c r="AX178" s="14">
        <v>90</v>
      </c>
      <c r="AY178" s="14">
        <v>84</v>
      </c>
      <c r="AZ178" s="14">
        <v>82</v>
      </c>
      <c r="BA178" s="14">
        <v>45</v>
      </c>
      <c r="BB178" s="34">
        <v>1.2162162162162162</v>
      </c>
    </row>
    <row r="179" spans="2:54" ht="15" customHeight="1">
      <c r="B179" s="19" t="s">
        <v>25</v>
      </c>
      <c r="C179" s="20"/>
      <c r="D179" s="20"/>
      <c r="E179" s="21">
        <v>163</v>
      </c>
      <c r="F179" s="18">
        <v>1313</v>
      </c>
      <c r="G179" s="14">
        <v>1327</v>
      </c>
      <c r="H179" s="14">
        <v>1372</v>
      </c>
      <c r="I179" s="14">
        <v>1344</v>
      </c>
      <c r="J179" s="14">
        <v>1277</v>
      </c>
      <c r="K179" s="14">
        <v>1290</v>
      </c>
      <c r="L179" s="14">
        <v>1366</v>
      </c>
      <c r="M179" s="14">
        <v>1556</v>
      </c>
      <c r="N179" s="14">
        <v>184</v>
      </c>
      <c r="O179" s="15">
        <v>0.13411078717201166</v>
      </c>
      <c r="P179" s="25">
        <v>0.02361005331302361</v>
      </c>
      <c r="Q179" s="23">
        <v>635</v>
      </c>
      <c r="R179" s="14">
        <v>420</v>
      </c>
      <c r="S179" s="14">
        <v>386</v>
      </c>
      <c r="T179" s="14">
        <v>379</v>
      </c>
      <c r="U179" s="17">
        <v>358</v>
      </c>
      <c r="V179" s="17">
        <v>327</v>
      </c>
      <c r="W179" s="17">
        <v>327</v>
      </c>
      <c r="X179" s="17">
        <v>301</v>
      </c>
      <c r="Y179" s="14">
        <v>-85</v>
      </c>
      <c r="Z179" s="15">
        <v>-0.4031496062992126</v>
      </c>
      <c r="AA179" s="25"/>
      <c r="AB179" s="18">
        <v>1770</v>
      </c>
      <c r="AC179" s="14">
        <v>1041</v>
      </c>
      <c r="AD179" s="14">
        <v>940</v>
      </c>
      <c r="AE179" s="14">
        <v>890</v>
      </c>
      <c r="AF179" s="14">
        <v>166</v>
      </c>
      <c r="AG179" s="14">
        <v>710</v>
      </c>
      <c r="AH179" s="14">
        <v>730</v>
      </c>
      <c r="AI179" s="14">
        <v>667</v>
      </c>
      <c r="AJ179" s="14">
        <v>-273</v>
      </c>
      <c r="AK179" s="15">
        <v>-0.4971751412429379</v>
      </c>
      <c r="AL179" s="26"/>
      <c r="AM179" s="18">
        <v>4427</v>
      </c>
      <c r="AN179" s="14">
        <v>4645</v>
      </c>
      <c r="AO179" s="14">
        <v>4859</v>
      </c>
      <c r="AP179" s="14">
        <v>5098</v>
      </c>
      <c r="AQ179" s="14">
        <v>5371</v>
      </c>
      <c r="AR179" s="14">
        <v>5557</v>
      </c>
      <c r="AS179" s="14">
        <v>5674</v>
      </c>
      <c r="AT179" s="35">
        <v>1029</v>
      </c>
      <c r="AU179" s="18">
        <v>339</v>
      </c>
      <c r="AV179" s="14">
        <v>375</v>
      </c>
      <c r="AW179" s="14">
        <v>361</v>
      </c>
      <c r="AX179" s="14">
        <v>366</v>
      </c>
      <c r="AY179" s="14">
        <v>353</v>
      </c>
      <c r="AZ179" s="14">
        <v>458</v>
      </c>
      <c r="BA179" s="14">
        <v>119</v>
      </c>
      <c r="BB179" s="34">
        <v>0.35103244837758113</v>
      </c>
    </row>
    <row r="180" spans="2:54" ht="15" customHeight="1">
      <c r="B180" s="19" t="s">
        <v>26</v>
      </c>
      <c r="C180" s="20"/>
      <c r="D180" s="20"/>
      <c r="E180" s="22">
        <v>164</v>
      </c>
      <c r="F180" s="18">
        <v>396</v>
      </c>
      <c r="G180" s="14">
        <v>365</v>
      </c>
      <c r="H180" s="14">
        <v>365</v>
      </c>
      <c r="I180" s="14">
        <v>338</v>
      </c>
      <c r="J180" s="14">
        <v>355</v>
      </c>
      <c r="K180" s="14">
        <v>380</v>
      </c>
      <c r="L180" s="14">
        <v>446</v>
      </c>
      <c r="M180" s="14">
        <v>473</v>
      </c>
      <c r="N180" s="14">
        <v>108</v>
      </c>
      <c r="O180" s="15">
        <v>0.2958904109589041</v>
      </c>
      <c r="P180" s="25">
        <v>-0.14646464646464646</v>
      </c>
      <c r="Q180" s="23">
        <v>241</v>
      </c>
      <c r="R180" s="14">
        <v>181</v>
      </c>
      <c r="S180" s="14">
        <v>141</v>
      </c>
      <c r="T180" s="14">
        <v>116</v>
      </c>
      <c r="U180" s="17">
        <v>128</v>
      </c>
      <c r="V180" s="17">
        <v>121</v>
      </c>
      <c r="W180" s="17">
        <v>134</v>
      </c>
      <c r="X180" s="17">
        <v>125</v>
      </c>
      <c r="Y180" s="14">
        <v>-16</v>
      </c>
      <c r="Z180" s="15">
        <v>-0.5186721991701245</v>
      </c>
      <c r="AA180" s="25"/>
      <c r="AB180" s="18">
        <v>594</v>
      </c>
      <c r="AC180" s="14">
        <v>397</v>
      </c>
      <c r="AD180" s="14">
        <v>298</v>
      </c>
      <c r="AE180" s="14">
        <v>227</v>
      </c>
      <c r="AF180" s="14">
        <v>845</v>
      </c>
      <c r="AG180" s="14">
        <v>232</v>
      </c>
      <c r="AH180" s="14">
        <v>251</v>
      </c>
      <c r="AI180" s="14">
        <v>227</v>
      </c>
      <c r="AJ180" s="14">
        <v>-71</v>
      </c>
      <c r="AK180" s="15">
        <v>-0.6178451178451179</v>
      </c>
      <c r="AL180" s="26"/>
      <c r="AM180" s="18">
        <v>1952</v>
      </c>
      <c r="AN180" s="14">
        <v>2078</v>
      </c>
      <c r="AO180" s="14">
        <v>2166</v>
      </c>
      <c r="AP180" s="14">
        <v>2157</v>
      </c>
      <c r="AQ180" s="14">
        <v>2389</v>
      </c>
      <c r="AR180" s="14">
        <v>2567</v>
      </c>
      <c r="AS180" s="14">
        <v>2643</v>
      </c>
      <c r="AT180" s="35">
        <v>565</v>
      </c>
      <c r="AU180" s="18">
        <v>86</v>
      </c>
      <c r="AV180" s="14">
        <v>96</v>
      </c>
      <c r="AW180" s="14">
        <v>113</v>
      </c>
      <c r="AX180" s="14">
        <v>132</v>
      </c>
      <c r="AY180" s="14">
        <v>146</v>
      </c>
      <c r="AZ180" s="14">
        <v>153</v>
      </c>
      <c r="BA180" s="14">
        <v>67</v>
      </c>
      <c r="BB180" s="34">
        <v>0.7790697674418605</v>
      </c>
    </row>
    <row r="181" spans="2:54" ht="15" customHeight="1">
      <c r="B181" s="19" t="s">
        <v>27</v>
      </c>
      <c r="C181" s="20"/>
      <c r="D181" s="20"/>
      <c r="E181" s="22">
        <v>165</v>
      </c>
      <c r="F181" s="18">
        <v>127</v>
      </c>
      <c r="G181" s="14">
        <v>123</v>
      </c>
      <c r="H181" s="14">
        <v>125</v>
      </c>
      <c r="I181" s="14">
        <v>129</v>
      </c>
      <c r="J181" s="14">
        <v>133</v>
      </c>
      <c r="K181" s="14">
        <v>142</v>
      </c>
      <c r="L181" s="14">
        <v>154</v>
      </c>
      <c r="M181" s="14">
        <v>159</v>
      </c>
      <c r="N181" s="14">
        <v>34</v>
      </c>
      <c r="O181" s="15">
        <v>0.272</v>
      </c>
      <c r="P181" s="25">
        <v>0.015748031496062992</v>
      </c>
      <c r="Q181" s="23">
        <v>75</v>
      </c>
      <c r="R181" s="14">
        <v>51</v>
      </c>
      <c r="S181" s="14">
        <v>42</v>
      </c>
      <c r="T181" s="14">
        <v>38</v>
      </c>
      <c r="U181" s="17">
        <v>32</v>
      </c>
      <c r="V181" s="17">
        <v>31</v>
      </c>
      <c r="W181" s="17">
        <v>34</v>
      </c>
      <c r="X181" s="17">
        <v>30</v>
      </c>
      <c r="Y181" s="14">
        <v>-12</v>
      </c>
      <c r="Z181" s="15">
        <v>-0.49333333333333335</v>
      </c>
      <c r="AA181" s="25"/>
      <c r="AB181" s="18">
        <v>202</v>
      </c>
      <c r="AC181" s="14">
        <v>124</v>
      </c>
      <c r="AD181" s="14">
        <v>106</v>
      </c>
      <c r="AE181" s="14">
        <v>100</v>
      </c>
      <c r="AF181" s="14">
        <v>250</v>
      </c>
      <c r="AG181" s="14">
        <v>68</v>
      </c>
      <c r="AH181" s="14">
        <v>80</v>
      </c>
      <c r="AI181" s="14">
        <v>67</v>
      </c>
      <c r="AJ181" s="14">
        <v>-39</v>
      </c>
      <c r="AK181" s="15">
        <v>-0.504950495049505</v>
      </c>
      <c r="AL181" s="26"/>
      <c r="AM181" s="18">
        <v>620</v>
      </c>
      <c r="AN181" s="14">
        <v>651</v>
      </c>
      <c r="AO181" s="14">
        <v>696</v>
      </c>
      <c r="AP181" s="14">
        <v>698</v>
      </c>
      <c r="AQ181" s="14">
        <v>809</v>
      </c>
      <c r="AR181" s="14">
        <v>911</v>
      </c>
      <c r="AS181" s="14">
        <v>949</v>
      </c>
      <c r="AT181" s="35">
        <v>298</v>
      </c>
      <c r="AU181" s="18">
        <v>27</v>
      </c>
      <c r="AV181" s="14">
        <v>35</v>
      </c>
      <c r="AW181" s="14">
        <v>33</v>
      </c>
      <c r="AX181" s="14">
        <v>37</v>
      </c>
      <c r="AY181" s="14">
        <v>36</v>
      </c>
      <c r="AZ181" s="14">
        <v>42</v>
      </c>
      <c r="BA181" s="14">
        <v>15</v>
      </c>
      <c r="BB181" s="34">
        <v>0.5555555555555556</v>
      </c>
    </row>
    <row r="182" spans="2:54" ht="15" customHeight="1">
      <c r="B182" s="19" t="s">
        <v>28</v>
      </c>
      <c r="C182" s="20"/>
      <c r="D182" s="20"/>
      <c r="E182" s="21">
        <v>166</v>
      </c>
      <c r="F182" s="18">
        <v>89</v>
      </c>
      <c r="G182" s="14">
        <v>79</v>
      </c>
      <c r="H182" s="14">
        <v>72</v>
      </c>
      <c r="I182" s="14">
        <v>66</v>
      </c>
      <c r="J182" s="14">
        <v>70</v>
      </c>
      <c r="K182" s="14">
        <v>77</v>
      </c>
      <c r="L182" s="14">
        <v>93</v>
      </c>
      <c r="M182" s="14">
        <v>119</v>
      </c>
      <c r="N182" s="14">
        <v>47</v>
      </c>
      <c r="O182" s="15">
        <v>0.6527777777777778</v>
      </c>
      <c r="P182" s="25">
        <v>-0.25842696629213485</v>
      </c>
      <c r="Q182" s="23">
        <v>52</v>
      </c>
      <c r="R182" s="14">
        <v>34</v>
      </c>
      <c r="S182" s="14">
        <v>33</v>
      </c>
      <c r="T182" s="14">
        <v>29</v>
      </c>
      <c r="U182" s="17">
        <v>28</v>
      </c>
      <c r="V182" s="17">
        <v>28</v>
      </c>
      <c r="W182" s="17">
        <v>30</v>
      </c>
      <c r="X182" s="17">
        <v>32</v>
      </c>
      <c r="Y182" s="14">
        <v>-1</v>
      </c>
      <c r="Z182" s="15">
        <v>-0.4423076923076923</v>
      </c>
      <c r="AA182" s="25"/>
      <c r="AB182" s="18">
        <v>109</v>
      </c>
      <c r="AC182" s="14">
        <v>65</v>
      </c>
      <c r="AD182" s="14">
        <v>66</v>
      </c>
      <c r="AE182" s="14">
        <v>57</v>
      </c>
      <c r="AF182" s="14">
        <v>75</v>
      </c>
      <c r="AG182" s="14">
        <v>56</v>
      </c>
      <c r="AH182" s="14">
        <v>54</v>
      </c>
      <c r="AI182" s="14">
        <v>57</v>
      </c>
      <c r="AJ182" s="14">
        <v>-9</v>
      </c>
      <c r="AK182" s="15">
        <v>-0.47706422018348627</v>
      </c>
      <c r="AL182" s="26"/>
      <c r="AM182" s="18">
        <v>546</v>
      </c>
      <c r="AN182" s="14">
        <v>561</v>
      </c>
      <c r="AO182" s="14">
        <v>606</v>
      </c>
      <c r="AP182" s="14">
        <v>623</v>
      </c>
      <c r="AQ182" s="14">
        <v>798</v>
      </c>
      <c r="AR182" s="14">
        <v>932</v>
      </c>
      <c r="AS182" s="14">
        <v>1016</v>
      </c>
      <c r="AT182" s="35">
        <v>455</v>
      </c>
      <c r="AU182" s="18">
        <v>22</v>
      </c>
      <c r="AV182" s="14">
        <v>24</v>
      </c>
      <c r="AW182" s="14">
        <v>26</v>
      </c>
      <c r="AX182" s="14">
        <v>29</v>
      </c>
      <c r="AY182" s="14">
        <v>34</v>
      </c>
      <c r="AZ182" s="14">
        <v>41</v>
      </c>
      <c r="BA182" s="14">
        <v>19</v>
      </c>
      <c r="BB182" s="34">
        <v>0.8636363636363636</v>
      </c>
    </row>
    <row r="183" spans="2:54" ht="15" customHeight="1">
      <c r="B183" s="19" t="s">
        <v>29</v>
      </c>
      <c r="C183" s="20"/>
      <c r="D183" s="20"/>
      <c r="E183" s="22">
        <v>167</v>
      </c>
      <c r="F183" s="18">
        <v>28</v>
      </c>
      <c r="G183" s="14">
        <v>28</v>
      </c>
      <c r="H183" s="14">
        <v>29</v>
      </c>
      <c r="I183" s="14">
        <v>26</v>
      </c>
      <c r="J183" s="14">
        <v>26</v>
      </c>
      <c r="K183" s="14">
        <v>30</v>
      </c>
      <c r="L183" s="14">
        <v>26</v>
      </c>
      <c r="M183" s="14">
        <v>32</v>
      </c>
      <c r="N183" s="14">
        <v>3</v>
      </c>
      <c r="O183" s="15">
        <v>0.10344827586206896</v>
      </c>
      <c r="P183" s="25">
        <v>-0.07142857142857142</v>
      </c>
      <c r="Q183" s="23">
        <v>13</v>
      </c>
      <c r="R183" s="14">
        <v>10</v>
      </c>
      <c r="S183" s="14">
        <v>8</v>
      </c>
      <c r="T183" s="14">
        <v>6</v>
      </c>
      <c r="U183" s="17">
        <v>7</v>
      </c>
      <c r="V183" s="17">
        <v>7</v>
      </c>
      <c r="W183" s="17">
        <v>7</v>
      </c>
      <c r="X183" s="17">
        <v>5</v>
      </c>
      <c r="Y183" s="14">
        <v>-3</v>
      </c>
      <c r="Z183" s="15">
        <v>-0.5384615384615384</v>
      </c>
      <c r="AA183" s="25"/>
      <c r="AB183" s="18">
        <v>32</v>
      </c>
      <c r="AC183" s="14">
        <v>25</v>
      </c>
      <c r="AD183" s="14">
        <v>18</v>
      </c>
      <c r="AE183" s="14">
        <v>12</v>
      </c>
      <c r="AF183" s="14">
        <v>51</v>
      </c>
      <c r="AG183" s="14">
        <v>14</v>
      </c>
      <c r="AH183" s="14">
        <v>9</v>
      </c>
      <c r="AI183" s="14">
        <v>7</v>
      </c>
      <c r="AJ183" s="14">
        <v>-11</v>
      </c>
      <c r="AK183" s="15">
        <v>-0.625</v>
      </c>
      <c r="AL183" s="26"/>
      <c r="AM183" s="18">
        <v>179</v>
      </c>
      <c r="AN183" s="14">
        <v>189</v>
      </c>
      <c r="AO183" s="14">
        <v>199</v>
      </c>
      <c r="AP183" s="14">
        <v>208</v>
      </c>
      <c r="AQ183" s="14">
        <v>220</v>
      </c>
      <c r="AR183" s="14">
        <v>227</v>
      </c>
      <c r="AS183" s="14">
        <v>227</v>
      </c>
      <c r="AT183" s="35">
        <v>38</v>
      </c>
      <c r="AU183" s="18">
        <v>12</v>
      </c>
      <c r="AV183" s="14">
        <v>10</v>
      </c>
      <c r="AW183" s="14">
        <v>6</v>
      </c>
      <c r="AX183" s="14">
        <v>9</v>
      </c>
      <c r="AY183" s="14">
        <v>9</v>
      </c>
      <c r="AZ183" s="14">
        <v>9</v>
      </c>
      <c r="BA183" s="14">
        <v>-3</v>
      </c>
      <c r="BB183" s="34">
        <v>-0.25</v>
      </c>
    </row>
    <row r="184" spans="2:54" ht="15" customHeight="1">
      <c r="B184" s="19" t="s">
        <v>30</v>
      </c>
      <c r="C184" s="20">
        <v>1</v>
      </c>
      <c r="D184" s="20" t="s">
        <v>52</v>
      </c>
      <c r="E184" s="22">
        <v>168</v>
      </c>
      <c r="F184" s="18">
        <v>22</v>
      </c>
      <c r="G184" s="14">
        <v>25</v>
      </c>
      <c r="H184" s="14">
        <v>25</v>
      </c>
      <c r="I184" s="14">
        <v>19</v>
      </c>
      <c r="J184" s="14">
        <v>18</v>
      </c>
      <c r="K184" s="14">
        <v>20</v>
      </c>
      <c r="L184" s="14">
        <v>26</v>
      </c>
      <c r="M184" s="14">
        <v>32</v>
      </c>
      <c r="N184" s="14">
        <v>7</v>
      </c>
      <c r="O184" s="15">
        <v>0.28</v>
      </c>
      <c r="P184" s="25">
        <v>-0.13636363636363635</v>
      </c>
      <c r="Q184" s="23">
        <v>11</v>
      </c>
      <c r="R184" s="14">
        <v>5</v>
      </c>
      <c r="S184" s="14">
        <v>4</v>
      </c>
      <c r="T184" s="14">
        <v>2</v>
      </c>
      <c r="U184" s="17">
        <v>1</v>
      </c>
      <c r="V184" s="17">
        <v>2</v>
      </c>
      <c r="W184" s="17">
        <v>3</v>
      </c>
      <c r="X184" s="17">
        <v>3</v>
      </c>
      <c r="Y184" s="14">
        <v>-1</v>
      </c>
      <c r="Z184" s="15">
        <v>-0.8181818181818182</v>
      </c>
      <c r="AA184" s="25"/>
      <c r="AB184" s="18">
        <v>29</v>
      </c>
      <c r="AC184" s="14">
        <v>15</v>
      </c>
      <c r="AD184" s="14">
        <v>10</v>
      </c>
      <c r="AE184" s="14">
        <v>9</v>
      </c>
      <c r="AF184" s="14">
        <v>13</v>
      </c>
      <c r="AG184" s="14">
        <v>5</v>
      </c>
      <c r="AH184" s="14">
        <v>5</v>
      </c>
      <c r="AI184" s="14">
        <v>7</v>
      </c>
      <c r="AJ184" s="14">
        <v>-3</v>
      </c>
      <c r="AK184" s="15">
        <v>-0.6896551724137931</v>
      </c>
      <c r="AL184" s="26"/>
      <c r="AM184" s="18">
        <v>167</v>
      </c>
      <c r="AN184" s="14">
        <v>175</v>
      </c>
      <c r="AO184" s="14">
        <v>189</v>
      </c>
      <c r="AP184" s="14">
        <v>206</v>
      </c>
      <c r="AQ184" s="14">
        <v>282</v>
      </c>
      <c r="AR184" s="14">
        <v>365</v>
      </c>
      <c r="AS184" s="14">
        <v>364</v>
      </c>
      <c r="AT184" s="35">
        <v>189</v>
      </c>
      <c r="AU184" s="18">
        <v>7</v>
      </c>
      <c r="AV184" s="14">
        <v>10</v>
      </c>
      <c r="AW184" s="14">
        <v>6</v>
      </c>
      <c r="AX184" s="14">
        <v>10</v>
      </c>
      <c r="AY184" s="14">
        <v>13</v>
      </c>
      <c r="AZ184" s="14">
        <v>17</v>
      </c>
      <c r="BA184" s="14">
        <v>10</v>
      </c>
      <c r="BB184" s="34">
        <v>1.4285714285714286</v>
      </c>
    </row>
    <row r="185" spans="2:54" ht="15" customHeight="1">
      <c r="B185" s="19" t="s">
        <v>31</v>
      </c>
      <c r="C185" s="20">
        <v>1</v>
      </c>
      <c r="D185" s="20" t="s">
        <v>47</v>
      </c>
      <c r="E185" s="21">
        <v>169</v>
      </c>
      <c r="F185" s="18">
        <v>33</v>
      </c>
      <c r="G185" s="14">
        <v>32</v>
      </c>
      <c r="H185" s="14">
        <v>26</v>
      </c>
      <c r="I185" s="14">
        <v>30</v>
      </c>
      <c r="J185" s="14">
        <v>30</v>
      </c>
      <c r="K185" s="14">
        <v>33</v>
      </c>
      <c r="L185" s="14">
        <v>30</v>
      </c>
      <c r="M185" s="14">
        <v>34</v>
      </c>
      <c r="N185" s="14">
        <v>8</v>
      </c>
      <c r="O185" s="15">
        <v>0.3076923076923077</v>
      </c>
      <c r="P185" s="25">
        <v>-0.09090909090909091</v>
      </c>
      <c r="Q185" s="23">
        <v>20</v>
      </c>
      <c r="R185" s="14">
        <v>12</v>
      </c>
      <c r="S185" s="14">
        <v>10</v>
      </c>
      <c r="T185" s="14">
        <v>9</v>
      </c>
      <c r="U185" s="17">
        <v>9</v>
      </c>
      <c r="V185" s="17">
        <v>10</v>
      </c>
      <c r="W185" s="17">
        <v>8</v>
      </c>
      <c r="X185" s="17">
        <v>7</v>
      </c>
      <c r="Y185" s="14">
        <v>-3</v>
      </c>
      <c r="Z185" s="15">
        <v>-0.55</v>
      </c>
      <c r="AA185" s="25"/>
      <c r="AB185" s="18">
        <v>52</v>
      </c>
      <c r="AC185" s="14">
        <v>30</v>
      </c>
      <c r="AD185" s="14">
        <v>20</v>
      </c>
      <c r="AE185" s="14">
        <v>16</v>
      </c>
      <c r="AF185" s="14">
        <v>4</v>
      </c>
      <c r="AG185" s="14">
        <v>13</v>
      </c>
      <c r="AH185" s="14">
        <v>13</v>
      </c>
      <c r="AI185" s="14">
        <v>11</v>
      </c>
      <c r="AJ185" s="14">
        <v>-9</v>
      </c>
      <c r="AK185" s="15">
        <v>-0.6923076923076923</v>
      </c>
      <c r="AL185" s="26"/>
      <c r="AM185" s="18">
        <v>161</v>
      </c>
      <c r="AN185" s="14">
        <v>180</v>
      </c>
      <c r="AO185" s="14">
        <v>198</v>
      </c>
      <c r="AP185" s="14">
        <v>210</v>
      </c>
      <c r="AQ185" s="14">
        <v>327</v>
      </c>
      <c r="AR185" s="14">
        <v>378</v>
      </c>
      <c r="AS185" s="14">
        <v>388</v>
      </c>
      <c r="AT185" s="35">
        <v>208</v>
      </c>
      <c r="AU185" s="18">
        <v>3</v>
      </c>
      <c r="AV185" s="14">
        <v>6</v>
      </c>
      <c r="AW185" s="14">
        <v>2</v>
      </c>
      <c r="AX185" s="14">
        <v>9</v>
      </c>
      <c r="AY185" s="14">
        <v>10</v>
      </c>
      <c r="AZ185" s="14">
        <v>11</v>
      </c>
      <c r="BA185" s="14">
        <v>8</v>
      </c>
      <c r="BB185" s="34">
        <v>2.6666666666666665</v>
      </c>
    </row>
    <row r="186" spans="2:54" ht="15" customHeight="1" thickBot="1">
      <c r="B186" s="36" t="s">
        <v>32</v>
      </c>
      <c r="C186" s="36"/>
      <c r="D186" s="36"/>
      <c r="E186" s="36"/>
      <c r="F186" s="37">
        <v>0</v>
      </c>
      <c r="G186" s="38">
        <v>2</v>
      </c>
      <c r="H186" s="38">
        <v>1</v>
      </c>
      <c r="I186" s="38">
        <v>2</v>
      </c>
      <c r="J186" s="38">
        <v>0</v>
      </c>
      <c r="K186" s="38">
        <v>2</v>
      </c>
      <c r="L186" s="38"/>
      <c r="M186" s="38"/>
      <c r="N186" s="38">
        <v>-1</v>
      </c>
      <c r="O186" s="39">
        <v>-1</v>
      </c>
      <c r="P186" s="40">
        <v>0</v>
      </c>
      <c r="Q186" s="41">
        <v>0</v>
      </c>
      <c r="R186" s="38">
        <v>0</v>
      </c>
      <c r="S186" s="38">
        <v>0</v>
      </c>
      <c r="T186" s="38">
        <v>0</v>
      </c>
      <c r="U186" s="42">
        <v>0</v>
      </c>
      <c r="V186" s="42">
        <v>0</v>
      </c>
      <c r="W186" s="42">
        <v>0</v>
      </c>
      <c r="X186" s="42">
        <v>0</v>
      </c>
      <c r="Y186" s="38">
        <v>0</v>
      </c>
      <c r="Z186" s="39"/>
      <c r="AA186" s="40"/>
      <c r="AB186" s="37">
        <v>0</v>
      </c>
      <c r="AC186" s="38">
        <v>0</v>
      </c>
      <c r="AD186" s="38">
        <v>0</v>
      </c>
      <c r="AE186" s="38">
        <v>0</v>
      </c>
      <c r="AF186" s="38">
        <v>14</v>
      </c>
      <c r="AG186" s="38">
        <v>0</v>
      </c>
      <c r="AH186" s="38">
        <v>0</v>
      </c>
      <c r="AI186" s="38">
        <v>0</v>
      </c>
      <c r="AJ186" s="38">
        <v>0</v>
      </c>
      <c r="AK186" s="39">
        <v>0</v>
      </c>
      <c r="AL186" s="43"/>
      <c r="AM186" s="37">
        <v>221</v>
      </c>
      <c r="AN186" s="38">
        <v>352</v>
      </c>
      <c r="AO186" s="38">
        <v>469</v>
      </c>
      <c r="AP186" s="38">
        <v>480</v>
      </c>
      <c r="AQ186" s="38">
        <v>420</v>
      </c>
      <c r="AR186" s="38">
        <v>377</v>
      </c>
      <c r="AS186" s="38">
        <v>405</v>
      </c>
      <c r="AT186" s="44">
        <v>53</v>
      </c>
      <c r="AU186" s="37">
        <v>1</v>
      </c>
      <c r="AV186" s="38">
        <v>1</v>
      </c>
      <c r="AW186" s="38">
        <v>0</v>
      </c>
      <c r="AX186" s="38">
        <v>1</v>
      </c>
      <c r="AY186" s="38">
        <v>0</v>
      </c>
      <c r="AZ186" s="38">
        <v>0</v>
      </c>
      <c r="BA186" s="38">
        <v>-1</v>
      </c>
      <c r="BB186" s="45">
        <v>-1</v>
      </c>
    </row>
    <row r="187" spans="2:6" ht="15" customHeight="1">
      <c r="B187" s="1" t="s">
        <v>237</v>
      </c>
      <c r="E187" s="4"/>
      <c r="F187" s="2"/>
    </row>
  </sheetData>
  <printOptions horizontalCentered="1"/>
  <pageMargins left="0.45" right="0.51" top="0.49" bottom="0.66" header="0.45" footer="0.5"/>
  <pageSetup fitToHeight="3" fitToWidth="3" horizontalDpi="600" verticalDpi="600" orientation="landscape" scale="51" r:id="rId1"/>
  <headerFooter alignWithMargins="0">
    <oddFooter>&amp;CPage &amp;P</oddFooter>
  </headerFooter>
  <colBreaks count="1" manualBreakCount="1">
    <brk id="46" min="7" max="18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S191"/>
  <sheetViews>
    <sheetView zoomScale="75" zoomScaleNormal="75" workbookViewId="0" topLeftCell="A1">
      <selection activeCell="B8" sqref="B8:E9"/>
    </sheetView>
  </sheetViews>
  <sheetFormatPr defaultColWidth="9.00390625" defaultRowHeight="15" customHeight="1"/>
  <cols>
    <col min="2" max="16384" width="12.75390625" style="0" customWidth="1"/>
  </cols>
  <sheetData>
    <row r="1" ht="15" customHeight="1">
      <c r="J1" s="1"/>
    </row>
    <row r="2" spans="2:19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2:19" ht="1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6:19" ht="15" customHeight="1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7:19" ht="15" customHeight="1">
      <c r="G5" s="1"/>
      <c r="H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6:19" ht="15" customHeight="1" thickBot="1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2:19" ht="43.5" customHeight="1" thickBot="1">
      <c r="B7" s="169" t="s">
        <v>98</v>
      </c>
      <c r="C7" s="172"/>
      <c r="D7" s="172"/>
      <c r="E7" s="172"/>
      <c r="F7" s="173"/>
      <c r="G7" s="173"/>
      <c r="H7" s="173"/>
      <c r="I7" s="173"/>
      <c r="J7" s="173"/>
      <c r="K7" s="173"/>
      <c r="L7" s="173"/>
      <c r="M7" s="173"/>
      <c r="N7" s="174"/>
      <c r="O7" s="1"/>
      <c r="P7" s="1"/>
      <c r="Q7" s="1"/>
      <c r="R7" s="1"/>
      <c r="S7" s="1"/>
    </row>
    <row r="8" spans="2:19" ht="15" customHeight="1">
      <c r="B8" s="193" t="s">
        <v>199</v>
      </c>
      <c r="C8" s="194"/>
      <c r="D8" s="194"/>
      <c r="E8" s="195"/>
      <c r="F8" s="9" t="s">
        <v>180</v>
      </c>
      <c r="G8" s="11"/>
      <c r="H8" s="9" t="s">
        <v>186</v>
      </c>
      <c r="I8" s="62"/>
      <c r="J8" s="62"/>
      <c r="K8" s="63"/>
      <c r="L8" s="10" t="s">
        <v>181</v>
      </c>
      <c r="M8" s="10"/>
      <c r="N8" s="10"/>
      <c r="O8" s="11"/>
      <c r="P8" s="10" t="s">
        <v>182</v>
      </c>
      <c r="Q8" s="11"/>
      <c r="R8" s="10" t="s">
        <v>184</v>
      </c>
      <c r="S8" s="11"/>
    </row>
    <row r="9" spans="2:19" ht="15" customHeight="1">
      <c r="B9" s="196"/>
      <c r="C9" s="197"/>
      <c r="D9" s="197"/>
      <c r="E9" s="198"/>
      <c r="F9" s="56"/>
      <c r="G9" s="57"/>
      <c r="H9" s="68" t="s">
        <v>178</v>
      </c>
      <c r="I9" s="69"/>
      <c r="J9" s="69" t="s">
        <v>179</v>
      </c>
      <c r="K9" s="70"/>
      <c r="L9" s="64"/>
      <c r="M9" s="64"/>
      <c r="N9" s="64"/>
      <c r="O9" s="65"/>
      <c r="P9" s="66" t="s">
        <v>183</v>
      </c>
      <c r="Q9" s="67"/>
      <c r="R9" s="66" t="s">
        <v>183</v>
      </c>
      <c r="S9" s="67"/>
    </row>
    <row r="10" spans="2:19" ht="15" customHeight="1" thickBot="1">
      <c r="B10" s="5"/>
      <c r="C10" s="6"/>
      <c r="D10" s="6"/>
      <c r="E10" s="7"/>
      <c r="F10" s="49" t="s">
        <v>172</v>
      </c>
      <c r="G10" s="52" t="s">
        <v>173</v>
      </c>
      <c r="H10" s="49" t="s">
        <v>172</v>
      </c>
      <c r="I10" s="51" t="s">
        <v>173</v>
      </c>
      <c r="J10" s="51" t="s">
        <v>172</v>
      </c>
      <c r="K10" s="52" t="s">
        <v>173</v>
      </c>
      <c r="L10" s="74" t="s">
        <v>174</v>
      </c>
      <c r="M10" s="51" t="s">
        <v>175</v>
      </c>
      <c r="N10" s="51" t="s">
        <v>176</v>
      </c>
      <c r="O10" s="52" t="s">
        <v>177</v>
      </c>
      <c r="P10" s="74" t="s">
        <v>172</v>
      </c>
      <c r="Q10" s="52" t="s">
        <v>173</v>
      </c>
      <c r="R10" s="74" t="s">
        <v>172</v>
      </c>
      <c r="S10" s="52" t="s">
        <v>173</v>
      </c>
    </row>
    <row r="11" spans="2:19" ht="15" customHeight="1">
      <c r="B11" s="205" t="s">
        <v>42</v>
      </c>
      <c r="C11" s="206"/>
      <c r="D11" s="206"/>
      <c r="E11" s="207"/>
      <c r="F11" s="89">
        <v>2408</v>
      </c>
      <c r="G11" s="90">
        <v>5197</v>
      </c>
      <c r="H11" s="89">
        <v>1128</v>
      </c>
      <c r="I11" s="91">
        <v>2728</v>
      </c>
      <c r="J11" s="91">
        <v>79</v>
      </c>
      <c r="K11" s="92">
        <v>395</v>
      </c>
      <c r="L11" s="93">
        <v>322</v>
      </c>
      <c r="M11" s="91">
        <v>9</v>
      </c>
      <c r="N11" s="91">
        <v>1018</v>
      </c>
      <c r="O11" s="92">
        <v>1376</v>
      </c>
      <c r="P11" s="93">
        <v>6080</v>
      </c>
      <c r="Q11" s="92">
        <v>7913</v>
      </c>
      <c r="R11" s="93">
        <v>8663</v>
      </c>
      <c r="S11" s="92">
        <v>12412</v>
      </c>
    </row>
    <row r="12" spans="2:19" ht="15" customHeight="1">
      <c r="B12" s="199" t="s">
        <v>200</v>
      </c>
      <c r="C12" s="200"/>
      <c r="D12" s="200"/>
      <c r="E12" s="201"/>
      <c r="F12" s="77">
        <v>87341</v>
      </c>
      <c r="G12" s="80">
        <v>189721</v>
      </c>
      <c r="H12" s="77">
        <v>44323</v>
      </c>
      <c r="I12" s="75">
        <v>117060</v>
      </c>
      <c r="J12" s="75">
        <v>2398</v>
      </c>
      <c r="K12" s="86">
        <v>10023</v>
      </c>
      <c r="L12" s="83">
        <v>7318</v>
      </c>
      <c r="M12" s="75">
        <v>131</v>
      </c>
      <c r="N12" s="75">
        <v>18219</v>
      </c>
      <c r="O12" s="86">
        <v>25642</v>
      </c>
      <c r="P12" s="83">
        <v>108635</v>
      </c>
      <c r="Q12" s="86">
        <v>139303</v>
      </c>
      <c r="R12" s="83">
        <v>180998</v>
      </c>
      <c r="S12" s="86">
        <v>292028</v>
      </c>
    </row>
    <row r="13" spans="2:19" ht="15" customHeight="1">
      <c r="B13" s="199" t="s">
        <v>201</v>
      </c>
      <c r="C13" s="200"/>
      <c r="D13" s="200"/>
      <c r="E13" s="201"/>
      <c r="F13" s="77">
        <v>66200</v>
      </c>
      <c r="G13" s="80">
        <v>145894</v>
      </c>
      <c r="H13" s="77">
        <v>34049</v>
      </c>
      <c r="I13" s="75">
        <v>91605</v>
      </c>
      <c r="J13" s="75">
        <v>1727</v>
      </c>
      <c r="K13" s="86">
        <v>7348</v>
      </c>
      <c r="L13" s="83">
        <v>5216</v>
      </c>
      <c r="M13" s="75">
        <v>65</v>
      </c>
      <c r="N13" s="75">
        <v>12034</v>
      </c>
      <c r="O13" s="86">
        <v>17329</v>
      </c>
      <c r="P13" s="83">
        <v>65442</v>
      </c>
      <c r="Q13" s="86">
        <v>85647</v>
      </c>
      <c r="R13" s="83">
        <v>118547</v>
      </c>
      <c r="S13" s="86">
        <v>201929</v>
      </c>
    </row>
    <row r="14" spans="2:19" ht="15" customHeight="1">
      <c r="B14" s="199" t="s">
        <v>202</v>
      </c>
      <c r="C14" s="200"/>
      <c r="D14" s="200"/>
      <c r="E14" s="201"/>
      <c r="F14" s="77">
        <v>21141</v>
      </c>
      <c r="G14" s="80">
        <v>43827</v>
      </c>
      <c r="H14" s="77">
        <v>10274</v>
      </c>
      <c r="I14" s="75">
        <v>25455</v>
      </c>
      <c r="J14" s="75">
        <v>671</v>
      </c>
      <c r="K14" s="86">
        <v>2675</v>
      </c>
      <c r="L14" s="83">
        <v>2102</v>
      </c>
      <c r="M14" s="75">
        <v>66</v>
      </c>
      <c r="N14" s="75">
        <v>6185</v>
      </c>
      <c r="O14" s="86">
        <v>8313</v>
      </c>
      <c r="P14" s="83">
        <v>43193</v>
      </c>
      <c r="Q14" s="86">
        <v>53656</v>
      </c>
      <c r="R14" s="83">
        <v>62451</v>
      </c>
      <c r="S14" s="86">
        <v>90099</v>
      </c>
    </row>
    <row r="15" spans="2:19" ht="15" customHeight="1">
      <c r="B15" s="199" t="s">
        <v>43</v>
      </c>
      <c r="C15" s="200"/>
      <c r="D15" s="200"/>
      <c r="E15" s="201"/>
      <c r="F15" s="77">
        <v>1396</v>
      </c>
      <c r="G15" s="80">
        <v>3095</v>
      </c>
      <c r="H15" s="77">
        <v>682</v>
      </c>
      <c r="I15" s="75">
        <v>1652</v>
      </c>
      <c r="J15" s="75">
        <v>58</v>
      </c>
      <c r="K15" s="86">
        <v>271</v>
      </c>
      <c r="L15" s="83">
        <v>122</v>
      </c>
      <c r="M15" s="75">
        <v>6</v>
      </c>
      <c r="N15" s="75">
        <v>473</v>
      </c>
      <c r="O15" s="86">
        <v>615</v>
      </c>
      <c r="P15" s="83">
        <v>3165</v>
      </c>
      <c r="Q15" s="86">
        <v>4119</v>
      </c>
      <c r="R15" s="83">
        <v>4520</v>
      </c>
      <c r="S15" s="86">
        <v>6657</v>
      </c>
    </row>
    <row r="16" spans="2:19" ht="15" customHeight="1">
      <c r="B16" s="199" t="s">
        <v>44</v>
      </c>
      <c r="C16" s="200"/>
      <c r="D16" s="200"/>
      <c r="E16" s="201"/>
      <c r="F16" s="77">
        <v>788</v>
      </c>
      <c r="G16" s="80">
        <v>1698</v>
      </c>
      <c r="H16" s="77">
        <v>362</v>
      </c>
      <c r="I16" s="75">
        <v>863</v>
      </c>
      <c r="J16" s="75">
        <v>20</v>
      </c>
      <c r="K16" s="86">
        <v>108</v>
      </c>
      <c r="L16" s="83">
        <v>132</v>
      </c>
      <c r="M16" s="75">
        <v>3</v>
      </c>
      <c r="N16" s="75">
        <v>334</v>
      </c>
      <c r="O16" s="86">
        <v>479</v>
      </c>
      <c r="P16" s="83">
        <v>2284</v>
      </c>
      <c r="Q16" s="86">
        <v>3022</v>
      </c>
      <c r="R16" s="83">
        <v>3145</v>
      </c>
      <c r="S16" s="86">
        <v>4472</v>
      </c>
    </row>
    <row r="17" spans="2:19" ht="15" customHeight="1">
      <c r="B17" s="199" t="s">
        <v>45</v>
      </c>
      <c r="C17" s="200"/>
      <c r="D17" s="200"/>
      <c r="E17" s="201"/>
      <c r="F17" s="77">
        <v>224</v>
      </c>
      <c r="G17" s="80">
        <v>404</v>
      </c>
      <c r="H17" s="77">
        <v>84</v>
      </c>
      <c r="I17" s="75">
        <v>213</v>
      </c>
      <c r="J17" s="75">
        <v>1</v>
      </c>
      <c r="K17" s="86">
        <v>16</v>
      </c>
      <c r="L17" s="83">
        <v>68</v>
      </c>
      <c r="M17" s="75">
        <v>0</v>
      </c>
      <c r="N17" s="75">
        <v>211</v>
      </c>
      <c r="O17" s="86">
        <v>282</v>
      </c>
      <c r="P17" s="83">
        <v>631</v>
      </c>
      <c r="Q17" s="86">
        <v>772</v>
      </c>
      <c r="R17" s="83">
        <v>998</v>
      </c>
      <c r="S17" s="86">
        <v>1283</v>
      </c>
    </row>
    <row r="18" spans="2:19" ht="15" customHeight="1" thickBot="1">
      <c r="B18" s="202" t="s">
        <v>46</v>
      </c>
      <c r="C18" s="203"/>
      <c r="D18" s="203"/>
      <c r="E18" s="204"/>
      <c r="F18" s="77">
        <v>89749</v>
      </c>
      <c r="G18" s="80">
        <v>194918</v>
      </c>
      <c r="H18" s="77">
        <v>45451</v>
      </c>
      <c r="I18" s="75">
        <v>119788</v>
      </c>
      <c r="J18" s="75">
        <v>2477</v>
      </c>
      <c r="K18" s="86">
        <v>10418</v>
      </c>
      <c r="L18" s="83">
        <v>7640</v>
      </c>
      <c r="M18" s="75">
        <v>140</v>
      </c>
      <c r="N18" s="75">
        <v>19237</v>
      </c>
      <c r="O18" s="86">
        <v>27018</v>
      </c>
      <c r="P18" s="83">
        <v>114715</v>
      </c>
      <c r="Q18" s="86">
        <v>147216</v>
      </c>
      <c r="R18" s="83">
        <v>189661</v>
      </c>
      <c r="S18" s="86">
        <v>304440</v>
      </c>
    </row>
    <row r="19" spans="2:19" ht="15" customHeight="1" thickBot="1">
      <c r="B19" s="13" t="s">
        <v>203</v>
      </c>
      <c r="C19" s="13" t="s">
        <v>196</v>
      </c>
      <c r="D19" s="13" t="s">
        <v>197</v>
      </c>
      <c r="E19" s="73" t="s">
        <v>198</v>
      </c>
      <c r="F19" s="78"/>
      <c r="G19" s="81"/>
      <c r="H19" s="78"/>
      <c r="I19" s="76"/>
      <c r="J19" s="76"/>
      <c r="K19" s="87"/>
      <c r="L19" s="84"/>
      <c r="M19" s="76"/>
      <c r="N19" s="76"/>
      <c r="O19" s="87"/>
      <c r="P19" s="84"/>
      <c r="Q19" s="87"/>
      <c r="R19" s="84"/>
      <c r="S19" s="87"/>
    </row>
    <row r="20" spans="2:19" ht="15" customHeight="1">
      <c r="B20" s="94" t="s">
        <v>48</v>
      </c>
      <c r="C20" s="95">
        <v>1</v>
      </c>
      <c r="D20" s="95" t="s">
        <v>47</v>
      </c>
      <c r="E20" s="96">
        <v>1</v>
      </c>
      <c r="F20" s="79">
        <v>11</v>
      </c>
      <c r="G20" s="82">
        <v>22</v>
      </c>
      <c r="H20" s="79">
        <v>5</v>
      </c>
      <c r="I20" s="71">
        <v>11</v>
      </c>
      <c r="J20" s="72"/>
      <c r="K20" s="88">
        <v>1</v>
      </c>
      <c r="L20" s="85">
        <v>2</v>
      </c>
      <c r="M20" s="71"/>
      <c r="N20" s="71">
        <v>8</v>
      </c>
      <c r="O20" s="88">
        <v>11</v>
      </c>
      <c r="P20" s="85">
        <f>48-14</f>
        <v>34</v>
      </c>
      <c r="Q20" s="88">
        <f>58-14</f>
        <v>44</v>
      </c>
      <c r="R20" s="85">
        <f aca="true" t="shared" si="0" ref="R20:R51">SUM(H20,J20,O20,P20)</f>
        <v>50</v>
      </c>
      <c r="S20" s="88">
        <f aca="true" t="shared" si="1" ref="S20:S51">SUM(I20,K20,O20,Q20)</f>
        <v>67</v>
      </c>
    </row>
    <row r="21" spans="2:19" ht="15" customHeight="1">
      <c r="B21" s="97" t="s">
        <v>49</v>
      </c>
      <c r="C21" s="20"/>
      <c r="D21" s="20"/>
      <c r="E21" s="22">
        <v>2</v>
      </c>
      <c r="F21" s="79">
        <v>620</v>
      </c>
      <c r="G21" s="82">
        <v>1385</v>
      </c>
      <c r="H21" s="79">
        <v>326</v>
      </c>
      <c r="I21" s="71">
        <v>845</v>
      </c>
      <c r="J21" s="71">
        <v>19</v>
      </c>
      <c r="K21" s="88">
        <v>80</v>
      </c>
      <c r="L21" s="85">
        <v>23</v>
      </c>
      <c r="M21" s="71" t="s">
        <v>195</v>
      </c>
      <c r="N21" s="71">
        <v>99</v>
      </c>
      <c r="O21" s="88">
        <v>122</v>
      </c>
      <c r="P21" s="85">
        <f>997-243</f>
        <v>754</v>
      </c>
      <c r="Q21" s="88">
        <f>1198-243</f>
        <v>955</v>
      </c>
      <c r="R21" s="85">
        <f t="shared" si="0"/>
        <v>1221</v>
      </c>
      <c r="S21" s="88">
        <f t="shared" si="1"/>
        <v>2002</v>
      </c>
    </row>
    <row r="22" spans="2:19" ht="15" customHeight="1">
      <c r="B22" s="97" t="s">
        <v>50</v>
      </c>
      <c r="C22" s="20">
        <v>1</v>
      </c>
      <c r="D22" s="20" t="s">
        <v>47</v>
      </c>
      <c r="E22" s="22">
        <v>3</v>
      </c>
      <c r="F22" s="79">
        <v>32</v>
      </c>
      <c r="G22" s="82">
        <v>74</v>
      </c>
      <c r="H22" s="79">
        <v>21</v>
      </c>
      <c r="I22" s="71">
        <v>43</v>
      </c>
      <c r="J22" s="71">
        <v>1</v>
      </c>
      <c r="K22" s="88">
        <v>5</v>
      </c>
      <c r="L22" s="85">
        <v>8</v>
      </c>
      <c r="M22" s="71"/>
      <c r="N22" s="71">
        <v>7</v>
      </c>
      <c r="O22" s="88">
        <v>16</v>
      </c>
      <c r="P22" s="85">
        <f>103-25</f>
        <v>78</v>
      </c>
      <c r="Q22" s="88">
        <f>136-25</f>
        <v>111</v>
      </c>
      <c r="R22" s="85">
        <f t="shared" si="0"/>
        <v>116</v>
      </c>
      <c r="S22" s="88">
        <f t="shared" si="1"/>
        <v>175</v>
      </c>
    </row>
    <row r="23" spans="2:19" ht="15" customHeight="1">
      <c r="B23" s="97" t="s">
        <v>51</v>
      </c>
      <c r="C23" s="20"/>
      <c r="D23" s="20"/>
      <c r="E23" s="21">
        <v>4</v>
      </c>
      <c r="F23" s="79">
        <v>24</v>
      </c>
      <c r="G23" s="82">
        <v>42</v>
      </c>
      <c r="H23" s="79">
        <v>6</v>
      </c>
      <c r="I23" s="71">
        <v>14</v>
      </c>
      <c r="J23" s="71"/>
      <c r="K23" s="88">
        <v>4</v>
      </c>
      <c r="L23" s="85">
        <v>8</v>
      </c>
      <c r="M23" s="71" t="s">
        <v>195</v>
      </c>
      <c r="N23" s="71">
        <v>18</v>
      </c>
      <c r="O23" s="88">
        <v>26</v>
      </c>
      <c r="P23" s="85">
        <f>218-76</f>
        <v>142</v>
      </c>
      <c r="Q23" s="88">
        <f>230-76</f>
        <v>154</v>
      </c>
      <c r="R23" s="85">
        <f t="shared" si="0"/>
        <v>174</v>
      </c>
      <c r="S23" s="88">
        <f t="shared" si="1"/>
        <v>198</v>
      </c>
    </row>
    <row r="24" spans="2:19" ht="15" customHeight="1">
      <c r="B24" s="97" t="s">
        <v>53</v>
      </c>
      <c r="C24" s="20">
        <v>1</v>
      </c>
      <c r="D24" s="20" t="s">
        <v>52</v>
      </c>
      <c r="E24" s="22">
        <v>5</v>
      </c>
      <c r="F24" s="79">
        <v>7</v>
      </c>
      <c r="G24" s="82">
        <v>19</v>
      </c>
      <c r="H24" s="79">
        <v>5</v>
      </c>
      <c r="I24" s="71">
        <v>7</v>
      </c>
      <c r="J24" s="71"/>
      <c r="K24" s="88">
        <v>3</v>
      </c>
      <c r="L24" s="85" t="s">
        <v>195</v>
      </c>
      <c r="M24" s="71" t="s">
        <v>195</v>
      </c>
      <c r="N24" s="71">
        <v>2</v>
      </c>
      <c r="O24" s="88">
        <v>2</v>
      </c>
      <c r="P24" s="85">
        <f>31-7</f>
        <v>24</v>
      </c>
      <c r="Q24" s="88">
        <f>42-7</f>
        <v>35</v>
      </c>
      <c r="R24" s="85">
        <f t="shared" si="0"/>
        <v>31</v>
      </c>
      <c r="S24" s="88">
        <f t="shared" si="1"/>
        <v>47</v>
      </c>
    </row>
    <row r="25" spans="2:19" ht="15" customHeight="1">
      <c r="B25" s="97" t="s">
        <v>54</v>
      </c>
      <c r="C25" s="20">
        <v>1</v>
      </c>
      <c r="D25" s="20" t="s">
        <v>52</v>
      </c>
      <c r="E25" s="22">
        <v>6</v>
      </c>
      <c r="F25" s="79">
        <v>32</v>
      </c>
      <c r="G25" s="82">
        <v>67</v>
      </c>
      <c r="H25" s="79">
        <v>19</v>
      </c>
      <c r="I25" s="71">
        <v>44</v>
      </c>
      <c r="J25" s="71">
        <v>1</v>
      </c>
      <c r="K25" s="88">
        <v>3</v>
      </c>
      <c r="L25" s="85">
        <v>3</v>
      </c>
      <c r="M25" s="71" t="s">
        <v>195</v>
      </c>
      <c r="N25" s="71">
        <v>8</v>
      </c>
      <c r="O25" s="88">
        <v>12</v>
      </c>
      <c r="P25" s="85">
        <f>104-29</f>
        <v>75</v>
      </c>
      <c r="Q25" s="88">
        <f>128-29</f>
        <v>99</v>
      </c>
      <c r="R25" s="85">
        <f t="shared" si="0"/>
        <v>107</v>
      </c>
      <c r="S25" s="88">
        <f t="shared" si="1"/>
        <v>158</v>
      </c>
    </row>
    <row r="26" spans="2:19" ht="15" customHeight="1">
      <c r="B26" s="97" t="s">
        <v>55</v>
      </c>
      <c r="C26" s="20"/>
      <c r="D26" s="20"/>
      <c r="E26" s="21">
        <v>7</v>
      </c>
      <c r="F26" s="79">
        <v>79</v>
      </c>
      <c r="G26" s="82">
        <v>148</v>
      </c>
      <c r="H26" s="79">
        <v>35</v>
      </c>
      <c r="I26" s="71">
        <v>75</v>
      </c>
      <c r="J26" s="71">
        <v>2</v>
      </c>
      <c r="K26" s="88">
        <v>7</v>
      </c>
      <c r="L26" s="85">
        <v>27</v>
      </c>
      <c r="M26" s="71" t="s">
        <v>195</v>
      </c>
      <c r="N26" s="71">
        <v>42</v>
      </c>
      <c r="O26" s="88">
        <v>69</v>
      </c>
      <c r="P26" s="85">
        <f>297-101</f>
        <v>196</v>
      </c>
      <c r="Q26" s="88">
        <f>368-101</f>
        <v>267</v>
      </c>
      <c r="R26" s="85">
        <f t="shared" si="0"/>
        <v>302</v>
      </c>
      <c r="S26" s="88">
        <f t="shared" si="1"/>
        <v>418</v>
      </c>
    </row>
    <row r="27" spans="2:19" ht="15" customHeight="1">
      <c r="B27" s="97" t="s">
        <v>56</v>
      </c>
      <c r="C27" s="20">
        <v>1</v>
      </c>
      <c r="D27" s="20" t="s">
        <v>52</v>
      </c>
      <c r="E27" s="22">
        <v>8</v>
      </c>
      <c r="F27" s="79">
        <v>14</v>
      </c>
      <c r="G27" s="82">
        <v>24</v>
      </c>
      <c r="H27" s="79">
        <v>6</v>
      </c>
      <c r="I27" s="71">
        <v>15</v>
      </c>
      <c r="J27" s="71"/>
      <c r="K27" s="88"/>
      <c r="L27" s="85">
        <v>1</v>
      </c>
      <c r="M27" s="71" t="s">
        <v>195</v>
      </c>
      <c r="N27" s="71">
        <v>8</v>
      </c>
      <c r="O27" s="88">
        <v>9</v>
      </c>
      <c r="P27" s="85">
        <v>28</v>
      </c>
      <c r="Q27" s="88">
        <v>36</v>
      </c>
      <c r="R27" s="85">
        <f t="shared" si="0"/>
        <v>43</v>
      </c>
      <c r="S27" s="88">
        <f t="shared" si="1"/>
        <v>60</v>
      </c>
    </row>
    <row r="28" spans="2:19" ht="15" customHeight="1">
      <c r="B28" s="97" t="s">
        <v>57</v>
      </c>
      <c r="C28" s="20"/>
      <c r="D28" s="20"/>
      <c r="E28" s="22">
        <v>9</v>
      </c>
      <c r="F28" s="79">
        <v>97</v>
      </c>
      <c r="G28" s="82">
        <v>196</v>
      </c>
      <c r="H28" s="79">
        <v>52</v>
      </c>
      <c r="I28" s="71">
        <v>121</v>
      </c>
      <c r="J28" s="71">
        <v>3</v>
      </c>
      <c r="K28" s="88">
        <v>14</v>
      </c>
      <c r="L28" s="85">
        <v>19</v>
      </c>
      <c r="M28" s="71" t="s">
        <v>195</v>
      </c>
      <c r="N28" s="71">
        <v>28</v>
      </c>
      <c r="O28" s="88">
        <v>47</v>
      </c>
      <c r="P28" s="85">
        <f>417-130</f>
        <v>287</v>
      </c>
      <c r="Q28" s="88">
        <f>494-130</f>
        <v>364</v>
      </c>
      <c r="R28" s="85">
        <f t="shared" si="0"/>
        <v>389</v>
      </c>
      <c r="S28" s="88">
        <f t="shared" si="1"/>
        <v>546</v>
      </c>
    </row>
    <row r="29" spans="2:19" ht="15" customHeight="1">
      <c r="B29" s="97" t="s">
        <v>58</v>
      </c>
      <c r="C29" s="20">
        <v>1</v>
      </c>
      <c r="D29" s="20" t="s">
        <v>52</v>
      </c>
      <c r="E29" s="21">
        <v>10</v>
      </c>
      <c r="F29" s="79">
        <v>5</v>
      </c>
      <c r="G29" s="82">
        <v>8</v>
      </c>
      <c r="H29" s="79">
        <v>2</v>
      </c>
      <c r="I29" s="71">
        <v>5</v>
      </c>
      <c r="J29" s="71"/>
      <c r="K29" s="88"/>
      <c r="L29" s="85">
        <v>1</v>
      </c>
      <c r="M29" s="71" t="s">
        <v>195</v>
      </c>
      <c r="N29" s="71">
        <v>4</v>
      </c>
      <c r="O29" s="88">
        <v>5</v>
      </c>
      <c r="P29" s="85">
        <f>59-16</f>
        <v>43</v>
      </c>
      <c r="Q29" s="88">
        <f>71-16</f>
        <v>55</v>
      </c>
      <c r="R29" s="85">
        <f t="shared" si="0"/>
        <v>50</v>
      </c>
      <c r="S29" s="88">
        <f t="shared" si="1"/>
        <v>65</v>
      </c>
    </row>
    <row r="30" spans="2:19" ht="15" customHeight="1">
      <c r="B30" s="97" t="s">
        <v>59</v>
      </c>
      <c r="C30" s="20"/>
      <c r="D30" s="20"/>
      <c r="E30" s="22">
        <v>11</v>
      </c>
      <c r="F30" s="79">
        <v>382</v>
      </c>
      <c r="G30" s="82">
        <v>748</v>
      </c>
      <c r="H30" s="79">
        <v>250</v>
      </c>
      <c r="I30" s="71">
        <v>566</v>
      </c>
      <c r="J30" s="71">
        <v>3</v>
      </c>
      <c r="K30" s="88">
        <v>13</v>
      </c>
      <c r="L30" s="85">
        <v>74</v>
      </c>
      <c r="M30" s="71">
        <v>3</v>
      </c>
      <c r="N30" s="71">
        <v>88</v>
      </c>
      <c r="O30" s="88">
        <v>167</v>
      </c>
      <c r="P30" s="85">
        <f>1476-455</f>
        <v>1021</v>
      </c>
      <c r="Q30" s="88">
        <f>1626-455</f>
        <v>1171</v>
      </c>
      <c r="R30" s="85">
        <f t="shared" si="0"/>
        <v>1441</v>
      </c>
      <c r="S30" s="88">
        <f t="shared" si="1"/>
        <v>1917</v>
      </c>
    </row>
    <row r="31" spans="2:19" ht="15" customHeight="1">
      <c r="B31" s="97" t="s">
        <v>60</v>
      </c>
      <c r="C31" s="20">
        <v>1</v>
      </c>
      <c r="D31" s="20" t="s">
        <v>47</v>
      </c>
      <c r="E31" s="22">
        <v>12</v>
      </c>
      <c r="F31" s="79">
        <v>16</v>
      </c>
      <c r="G31" s="82">
        <v>36</v>
      </c>
      <c r="H31" s="79">
        <v>10</v>
      </c>
      <c r="I31" s="71">
        <v>20</v>
      </c>
      <c r="J31" s="71"/>
      <c r="K31" s="88"/>
      <c r="L31" s="85" t="s">
        <v>195</v>
      </c>
      <c r="M31" s="71"/>
      <c r="N31" s="71">
        <v>10</v>
      </c>
      <c r="O31" s="88">
        <v>10</v>
      </c>
      <c r="P31" s="85">
        <v>44</v>
      </c>
      <c r="Q31" s="88">
        <v>65</v>
      </c>
      <c r="R31" s="85">
        <f t="shared" si="0"/>
        <v>64</v>
      </c>
      <c r="S31" s="88">
        <f t="shared" si="1"/>
        <v>95</v>
      </c>
    </row>
    <row r="32" spans="2:19" ht="15" customHeight="1">
      <c r="B32" s="97" t="s">
        <v>61</v>
      </c>
      <c r="C32" s="20">
        <v>1</v>
      </c>
      <c r="D32" s="20" t="s">
        <v>47</v>
      </c>
      <c r="E32" s="21">
        <v>13</v>
      </c>
      <c r="F32" s="79">
        <v>14</v>
      </c>
      <c r="G32" s="82">
        <v>32</v>
      </c>
      <c r="H32" s="79">
        <v>6</v>
      </c>
      <c r="I32" s="71">
        <v>16</v>
      </c>
      <c r="J32" s="71"/>
      <c r="K32" s="88"/>
      <c r="L32" s="85">
        <v>16</v>
      </c>
      <c r="M32" s="71"/>
      <c r="N32" s="71">
        <v>12</v>
      </c>
      <c r="O32" s="88">
        <v>28</v>
      </c>
      <c r="P32" s="85">
        <f>69-27</f>
        <v>42</v>
      </c>
      <c r="Q32" s="88">
        <f>79-27</f>
        <v>52</v>
      </c>
      <c r="R32" s="85">
        <f t="shared" si="0"/>
        <v>76</v>
      </c>
      <c r="S32" s="88">
        <f t="shared" si="1"/>
        <v>96</v>
      </c>
    </row>
    <row r="33" spans="2:19" ht="15" customHeight="1">
      <c r="B33" s="97" t="s">
        <v>62</v>
      </c>
      <c r="C33" s="20"/>
      <c r="D33" s="20"/>
      <c r="E33" s="22">
        <v>14</v>
      </c>
      <c r="F33" s="79">
        <v>298</v>
      </c>
      <c r="G33" s="82">
        <v>530</v>
      </c>
      <c r="H33" s="79">
        <v>119</v>
      </c>
      <c r="I33" s="71">
        <v>271</v>
      </c>
      <c r="J33" s="71">
        <v>6</v>
      </c>
      <c r="K33" s="88">
        <v>27</v>
      </c>
      <c r="L33" s="85">
        <v>27</v>
      </c>
      <c r="M33" s="71" t="s">
        <v>195</v>
      </c>
      <c r="N33" s="71">
        <v>132</v>
      </c>
      <c r="O33" s="88">
        <v>159</v>
      </c>
      <c r="P33" s="85">
        <f>844-237</f>
        <v>607</v>
      </c>
      <c r="Q33" s="88">
        <f>962-237</f>
        <v>725</v>
      </c>
      <c r="R33" s="85">
        <f t="shared" si="0"/>
        <v>891</v>
      </c>
      <c r="S33" s="88">
        <f t="shared" si="1"/>
        <v>1182</v>
      </c>
    </row>
    <row r="34" spans="2:19" ht="15" customHeight="1">
      <c r="B34" s="97" t="s">
        <v>64</v>
      </c>
      <c r="C34" s="20" t="s">
        <v>63</v>
      </c>
      <c r="D34" s="20"/>
      <c r="E34" s="22">
        <v>15</v>
      </c>
      <c r="F34" s="79">
        <v>10080</v>
      </c>
      <c r="G34" s="82">
        <v>23903</v>
      </c>
      <c r="H34" s="79">
        <v>5739</v>
      </c>
      <c r="I34" s="71">
        <v>15823</v>
      </c>
      <c r="J34" s="71">
        <v>306</v>
      </c>
      <c r="K34" s="88">
        <v>1331</v>
      </c>
      <c r="L34" s="85">
        <v>653</v>
      </c>
      <c r="M34" s="71">
        <v>8</v>
      </c>
      <c r="N34" s="71">
        <v>1502</v>
      </c>
      <c r="O34" s="88">
        <v>2163</v>
      </c>
      <c r="P34" s="85">
        <f>13246-2847-273</f>
        <v>10126</v>
      </c>
      <c r="Q34" s="88">
        <f>16382-2847-275</f>
        <v>13260</v>
      </c>
      <c r="R34" s="85">
        <f t="shared" si="0"/>
        <v>18334</v>
      </c>
      <c r="S34" s="88">
        <f t="shared" si="1"/>
        <v>32577</v>
      </c>
    </row>
    <row r="35" spans="2:19" ht="15" customHeight="1">
      <c r="B35" s="97" t="s">
        <v>65</v>
      </c>
      <c r="C35" s="20">
        <v>1</v>
      </c>
      <c r="D35" s="20" t="s">
        <v>52</v>
      </c>
      <c r="E35" s="21">
        <v>16</v>
      </c>
      <c r="F35" s="79">
        <v>3</v>
      </c>
      <c r="G35" s="82">
        <v>7</v>
      </c>
      <c r="H35" s="79">
        <v>2</v>
      </c>
      <c r="I35" s="71">
        <v>4</v>
      </c>
      <c r="J35" s="71"/>
      <c r="K35" s="88"/>
      <c r="L35" s="85" t="s">
        <v>195</v>
      </c>
      <c r="M35" s="71" t="s">
        <v>195</v>
      </c>
      <c r="N35" s="71" t="s">
        <v>195</v>
      </c>
      <c r="O35" s="88" t="s">
        <v>195</v>
      </c>
      <c r="P35" s="85">
        <v>8</v>
      </c>
      <c r="Q35" s="88">
        <v>12</v>
      </c>
      <c r="R35" s="85">
        <f t="shared" si="0"/>
        <v>10</v>
      </c>
      <c r="S35" s="88">
        <f t="shared" si="1"/>
        <v>16</v>
      </c>
    </row>
    <row r="36" spans="2:19" ht="15" customHeight="1">
      <c r="B36" s="97" t="s">
        <v>66</v>
      </c>
      <c r="C36" s="20" t="s">
        <v>63</v>
      </c>
      <c r="D36" s="20"/>
      <c r="E36" s="22">
        <v>17</v>
      </c>
      <c r="F36" s="79">
        <v>1388</v>
      </c>
      <c r="G36" s="82">
        <v>3030</v>
      </c>
      <c r="H36" s="79">
        <v>677</v>
      </c>
      <c r="I36" s="71">
        <v>1743</v>
      </c>
      <c r="J36" s="71">
        <v>57</v>
      </c>
      <c r="K36" s="88">
        <v>223</v>
      </c>
      <c r="L36" s="85">
        <v>58</v>
      </c>
      <c r="M36" s="71">
        <v>4</v>
      </c>
      <c r="N36" s="71">
        <v>267</v>
      </c>
      <c r="O36" s="88">
        <v>330</v>
      </c>
      <c r="P36" s="85">
        <f>3150-958-22</f>
        <v>2170</v>
      </c>
      <c r="Q36" s="88">
        <f>3917-958-22</f>
        <v>2937</v>
      </c>
      <c r="R36" s="85">
        <f t="shared" si="0"/>
        <v>3234</v>
      </c>
      <c r="S36" s="88">
        <f t="shared" si="1"/>
        <v>5233</v>
      </c>
    </row>
    <row r="37" spans="2:19" ht="15" customHeight="1">
      <c r="B37" s="97" t="s">
        <v>67</v>
      </c>
      <c r="C37" s="20"/>
      <c r="D37" s="20"/>
      <c r="E37" s="22">
        <v>18</v>
      </c>
      <c r="F37" s="79">
        <v>36</v>
      </c>
      <c r="G37" s="82">
        <v>60</v>
      </c>
      <c r="H37" s="79">
        <v>22</v>
      </c>
      <c r="I37" s="71">
        <v>43</v>
      </c>
      <c r="J37" s="71"/>
      <c r="K37" s="88"/>
      <c r="L37" s="85">
        <v>7</v>
      </c>
      <c r="M37" s="71" t="s">
        <v>195</v>
      </c>
      <c r="N37" s="71">
        <v>7</v>
      </c>
      <c r="O37" s="88">
        <v>14</v>
      </c>
      <c r="P37" s="85">
        <f>230-64</f>
        <v>166</v>
      </c>
      <c r="Q37" s="88">
        <f>253-64</f>
        <v>189</v>
      </c>
      <c r="R37" s="85">
        <f t="shared" si="0"/>
        <v>202</v>
      </c>
      <c r="S37" s="88">
        <f t="shared" si="1"/>
        <v>246</v>
      </c>
    </row>
    <row r="38" spans="2:19" ht="15" customHeight="1">
      <c r="B38" s="97" t="s">
        <v>68</v>
      </c>
      <c r="C38" s="20">
        <v>1</v>
      </c>
      <c r="D38" s="20" t="s">
        <v>47</v>
      </c>
      <c r="E38" s="21">
        <v>19</v>
      </c>
      <c r="F38" s="79">
        <v>58</v>
      </c>
      <c r="G38" s="82">
        <v>131</v>
      </c>
      <c r="H38" s="79">
        <v>21</v>
      </c>
      <c r="I38" s="71">
        <v>53</v>
      </c>
      <c r="J38" s="71">
        <v>3</v>
      </c>
      <c r="K38" s="88">
        <v>15</v>
      </c>
      <c r="L38" s="85">
        <v>10</v>
      </c>
      <c r="M38" s="71">
        <v>1</v>
      </c>
      <c r="N38" s="71">
        <v>31</v>
      </c>
      <c r="O38" s="88">
        <v>44</v>
      </c>
      <c r="P38" s="85">
        <f>300-108</f>
        <v>192</v>
      </c>
      <c r="Q38" s="88">
        <f>347-108</f>
        <v>239</v>
      </c>
      <c r="R38" s="85">
        <f t="shared" si="0"/>
        <v>260</v>
      </c>
      <c r="S38" s="88">
        <f t="shared" si="1"/>
        <v>351</v>
      </c>
    </row>
    <row r="39" spans="2:19" ht="15" customHeight="1">
      <c r="B39" s="97" t="s">
        <v>69</v>
      </c>
      <c r="C39" s="20"/>
      <c r="D39" s="20"/>
      <c r="E39" s="22">
        <v>20</v>
      </c>
      <c r="F39" s="79">
        <v>14</v>
      </c>
      <c r="G39" s="82">
        <v>33</v>
      </c>
      <c r="H39" s="79">
        <v>11</v>
      </c>
      <c r="I39" s="71">
        <v>26</v>
      </c>
      <c r="J39" s="71"/>
      <c r="K39" s="88"/>
      <c r="L39" s="85">
        <v>2</v>
      </c>
      <c r="M39" s="71">
        <v>1</v>
      </c>
      <c r="N39" s="71">
        <v>14</v>
      </c>
      <c r="O39" s="88">
        <v>18</v>
      </c>
      <c r="P39" s="85">
        <f>68-16</f>
        <v>52</v>
      </c>
      <c r="Q39" s="88">
        <f>75-16</f>
        <v>59</v>
      </c>
      <c r="R39" s="85">
        <f t="shared" si="0"/>
        <v>81</v>
      </c>
      <c r="S39" s="88">
        <f t="shared" si="1"/>
        <v>103</v>
      </c>
    </row>
    <row r="40" spans="2:19" ht="15" customHeight="1">
      <c r="B40" s="97" t="s">
        <v>70</v>
      </c>
      <c r="C40" s="20">
        <v>1</v>
      </c>
      <c r="D40" s="20" t="s">
        <v>52</v>
      </c>
      <c r="E40" s="22">
        <v>21</v>
      </c>
      <c r="F40" s="79">
        <v>13</v>
      </c>
      <c r="G40" s="82">
        <v>26</v>
      </c>
      <c r="H40" s="79">
        <v>7</v>
      </c>
      <c r="I40" s="71">
        <v>17</v>
      </c>
      <c r="J40" s="71"/>
      <c r="K40" s="88">
        <v>2</v>
      </c>
      <c r="L40" s="85">
        <v>1</v>
      </c>
      <c r="M40" s="71" t="s">
        <v>195</v>
      </c>
      <c r="N40" s="71">
        <v>7</v>
      </c>
      <c r="O40" s="88">
        <v>9</v>
      </c>
      <c r="P40" s="85">
        <v>55</v>
      </c>
      <c r="Q40" s="88">
        <v>66</v>
      </c>
      <c r="R40" s="85">
        <f t="shared" si="0"/>
        <v>71</v>
      </c>
      <c r="S40" s="88">
        <f t="shared" si="1"/>
        <v>94</v>
      </c>
    </row>
    <row r="41" spans="2:19" ht="15" customHeight="1">
      <c r="B41" s="97" t="s">
        <v>71</v>
      </c>
      <c r="C41" s="20">
        <v>1</v>
      </c>
      <c r="D41" s="20" t="s">
        <v>47</v>
      </c>
      <c r="E41" s="21">
        <v>22</v>
      </c>
      <c r="F41" s="79">
        <v>39</v>
      </c>
      <c r="G41" s="82">
        <v>85</v>
      </c>
      <c r="H41" s="79">
        <v>14</v>
      </c>
      <c r="I41" s="71">
        <v>32</v>
      </c>
      <c r="J41" s="71">
        <v>2</v>
      </c>
      <c r="K41" s="88">
        <v>6</v>
      </c>
      <c r="L41" s="85">
        <v>2</v>
      </c>
      <c r="M41" s="71" t="s">
        <v>195</v>
      </c>
      <c r="N41" s="71">
        <v>12</v>
      </c>
      <c r="O41" s="88">
        <v>14</v>
      </c>
      <c r="P41" s="85">
        <f>155-33</f>
        <v>122</v>
      </c>
      <c r="Q41" s="88">
        <f>202-33</f>
        <v>169</v>
      </c>
      <c r="R41" s="85">
        <f t="shared" si="0"/>
        <v>152</v>
      </c>
      <c r="S41" s="88">
        <f t="shared" si="1"/>
        <v>221</v>
      </c>
    </row>
    <row r="42" spans="2:19" ht="15" customHeight="1">
      <c r="B42" s="97" t="s">
        <v>72</v>
      </c>
      <c r="C42" s="20"/>
      <c r="D42" s="20"/>
      <c r="E42" s="22">
        <v>23</v>
      </c>
      <c r="F42" s="79">
        <v>31</v>
      </c>
      <c r="G42" s="82">
        <v>63</v>
      </c>
      <c r="H42" s="79">
        <v>17</v>
      </c>
      <c r="I42" s="71">
        <v>43</v>
      </c>
      <c r="J42" s="71"/>
      <c r="K42" s="88">
        <v>3</v>
      </c>
      <c r="L42" s="85" t="s">
        <v>195</v>
      </c>
      <c r="M42" s="71">
        <v>3</v>
      </c>
      <c r="N42" s="71">
        <v>8</v>
      </c>
      <c r="O42" s="88">
        <v>11</v>
      </c>
      <c r="P42" s="85">
        <f>215-64</f>
        <v>151</v>
      </c>
      <c r="Q42" s="88">
        <f>233-64</f>
        <v>169</v>
      </c>
      <c r="R42" s="85">
        <f t="shared" si="0"/>
        <v>179</v>
      </c>
      <c r="S42" s="88">
        <f t="shared" si="1"/>
        <v>226</v>
      </c>
    </row>
    <row r="43" spans="2:19" ht="15" customHeight="1">
      <c r="B43" s="97" t="s">
        <v>73</v>
      </c>
      <c r="C43" s="20">
        <v>1</v>
      </c>
      <c r="D43" s="20" t="s">
        <v>47</v>
      </c>
      <c r="E43" s="22">
        <v>24</v>
      </c>
      <c r="F43" s="79">
        <v>13</v>
      </c>
      <c r="G43" s="82">
        <v>32</v>
      </c>
      <c r="H43" s="79">
        <v>10</v>
      </c>
      <c r="I43" s="71">
        <v>22</v>
      </c>
      <c r="J43" s="71"/>
      <c r="K43" s="88">
        <v>1</v>
      </c>
      <c r="L43" s="85" t="s">
        <v>195</v>
      </c>
      <c r="M43" s="71" t="s">
        <v>195</v>
      </c>
      <c r="N43" s="71">
        <v>1</v>
      </c>
      <c r="O43" s="88">
        <v>1</v>
      </c>
      <c r="P43" s="85">
        <v>34</v>
      </c>
      <c r="Q43" s="88">
        <v>41</v>
      </c>
      <c r="R43" s="85">
        <f t="shared" si="0"/>
        <v>45</v>
      </c>
      <c r="S43" s="88">
        <f t="shared" si="1"/>
        <v>65</v>
      </c>
    </row>
    <row r="44" spans="2:19" ht="15" customHeight="1">
      <c r="B44" s="97" t="s">
        <v>74</v>
      </c>
      <c r="C44" s="20"/>
      <c r="D44" s="20"/>
      <c r="E44" s="21">
        <v>25</v>
      </c>
      <c r="F44" s="79">
        <v>62</v>
      </c>
      <c r="G44" s="82">
        <v>119</v>
      </c>
      <c r="H44" s="79">
        <v>25</v>
      </c>
      <c r="I44" s="71">
        <v>58</v>
      </c>
      <c r="J44" s="71">
        <v>3</v>
      </c>
      <c r="K44" s="88">
        <v>13</v>
      </c>
      <c r="L44" s="85">
        <v>50</v>
      </c>
      <c r="M44" s="71">
        <v>1</v>
      </c>
      <c r="N44" s="71">
        <v>39</v>
      </c>
      <c r="O44" s="88">
        <v>90</v>
      </c>
      <c r="P44" s="85">
        <f>587-203</f>
        <v>384</v>
      </c>
      <c r="Q44" s="88">
        <f>635-203</f>
        <v>432</v>
      </c>
      <c r="R44" s="85">
        <f t="shared" si="0"/>
        <v>502</v>
      </c>
      <c r="S44" s="88">
        <f t="shared" si="1"/>
        <v>593</v>
      </c>
    </row>
    <row r="45" spans="2:19" ht="15" customHeight="1">
      <c r="B45" s="97" t="s">
        <v>76</v>
      </c>
      <c r="C45" s="20">
        <v>1</v>
      </c>
      <c r="D45" s="20" t="s">
        <v>75</v>
      </c>
      <c r="E45" s="22">
        <v>26</v>
      </c>
      <c r="F45" s="79">
        <v>22</v>
      </c>
      <c r="G45" s="82">
        <v>55</v>
      </c>
      <c r="H45" s="79">
        <v>11</v>
      </c>
      <c r="I45" s="71">
        <v>35</v>
      </c>
      <c r="J45" s="71"/>
      <c r="K45" s="88"/>
      <c r="L45" s="85">
        <v>15</v>
      </c>
      <c r="M45" s="71"/>
      <c r="N45" s="71">
        <v>39</v>
      </c>
      <c r="O45" s="88">
        <v>55</v>
      </c>
      <c r="P45" s="85">
        <f>193-80</f>
        <v>113</v>
      </c>
      <c r="Q45" s="88">
        <f>211-80</f>
        <v>131</v>
      </c>
      <c r="R45" s="85">
        <f t="shared" si="0"/>
        <v>179</v>
      </c>
      <c r="S45" s="88">
        <f t="shared" si="1"/>
        <v>221</v>
      </c>
    </row>
    <row r="46" spans="2:19" ht="15" customHeight="1">
      <c r="B46" s="97" t="s">
        <v>77</v>
      </c>
      <c r="C46" s="20"/>
      <c r="D46" s="20"/>
      <c r="E46" s="22">
        <v>27</v>
      </c>
      <c r="F46" s="79">
        <v>125</v>
      </c>
      <c r="G46" s="82">
        <v>234</v>
      </c>
      <c r="H46" s="79">
        <v>48</v>
      </c>
      <c r="I46" s="71">
        <v>111</v>
      </c>
      <c r="J46" s="71">
        <v>3</v>
      </c>
      <c r="K46" s="88">
        <v>16</v>
      </c>
      <c r="L46" s="85">
        <v>7</v>
      </c>
      <c r="M46" s="71" t="s">
        <v>195</v>
      </c>
      <c r="N46" s="71">
        <v>58</v>
      </c>
      <c r="O46" s="88">
        <v>66</v>
      </c>
      <c r="P46" s="85">
        <f>353-89</f>
        <v>264</v>
      </c>
      <c r="Q46" s="88">
        <f>452-89</f>
        <v>363</v>
      </c>
      <c r="R46" s="85">
        <f t="shared" si="0"/>
        <v>381</v>
      </c>
      <c r="S46" s="88">
        <f t="shared" si="1"/>
        <v>556</v>
      </c>
    </row>
    <row r="47" spans="2:19" ht="15" customHeight="1">
      <c r="B47" s="97" t="s">
        <v>78</v>
      </c>
      <c r="C47" s="20"/>
      <c r="D47" s="20"/>
      <c r="E47" s="21">
        <v>28</v>
      </c>
      <c r="F47" s="79">
        <v>117</v>
      </c>
      <c r="G47" s="82">
        <v>246</v>
      </c>
      <c r="H47" s="79">
        <v>51</v>
      </c>
      <c r="I47" s="71">
        <v>136</v>
      </c>
      <c r="J47" s="71">
        <v>6</v>
      </c>
      <c r="K47" s="88">
        <v>26</v>
      </c>
      <c r="L47" s="85">
        <v>14</v>
      </c>
      <c r="M47" s="71" t="s">
        <v>195</v>
      </c>
      <c r="N47" s="71">
        <v>36</v>
      </c>
      <c r="O47" s="88">
        <v>50</v>
      </c>
      <c r="P47" s="85">
        <f>550-158-6</f>
        <v>386</v>
      </c>
      <c r="Q47" s="88">
        <f>636-158-6</f>
        <v>472</v>
      </c>
      <c r="R47" s="85">
        <f t="shared" si="0"/>
        <v>493</v>
      </c>
      <c r="S47" s="88">
        <f t="shared" si="1"/>
        <v>684</v>
      </c>
    </row>
    <row r="48" spans="2:19" ht="15" customHeight="1">
      <c r="B48" s="97" t="s">
        <v>79</v>
      </c>
      <c r="C48" s="20">
        <v>1</v>
      </c>
      <c r="D48" s="20" t="s">
        <v>52</v>
      </c>
      <c r="E48" s="22">
        <v>29</v>
      </c>
      <c r="F48" s="79">
        <v>2</v>
      </c>
      <c r="G48" s="82">
        <v>4</v>
      </c>
      <c r="H48" s="79">
        <v>1</v>
      </c>
      <c r="I48" s="71">
        <v>3</v>
      </c>
      <c r="J48" s="71"/>
      <c r="K48" s="88"/>
      <c r="L48" s="85" t="s">
        <v>195</v>
      </c>
      <c r="M48" s="71" t="s">
        <v>195</v>
      </c>
      <c r="N48" s="71">
        <v>4</v>
      </c>
      <c r="O48" s="88">
        <v>4</v>
      </c>
      <c r="P48" s="85">
        <v>5</v>
      </c>
      <c r="Q48" s="88">
        <v>6</v>
      </c>
      <c r="R48" s="85">
        <f t="shared" si="0"/>
        <v>10</v>
      </c>
      <c r="S48" s="88">
        <f t="shared" si="1"/>
        <v>13</v>
      </c>
    </row>
    <row r="49" spans="2:19" ht="15" customHeight="1">
      <c r="B49" s="97" t="s">
        <v>80</v>
      </c>
      <c r="C49" s="20">
        <v>1</v>
      </c>
      <c r="D49" s="20" t="s">
        <v>47</v>
      </c>
      <c r="E49" s="22">
        <v>30</v>
      </c>
      <c r="F49" s="79">
        <v>16</v>
      </c>
      <c r="G49" s="82">
        <v>35</v>
      </c>
      <c r="H49" s="79">
        <v>12</v>
      </c>
      <c r="I49" s="71">
        <v>26</v>
      </c>
      <c r="J49" s="71"/>
      <c r="K49" s="88">
        <v>4</v>
      </c>
      <c r="L49" s="85">
        <v>2</v>
      </c>
      <c r="M49" s="71">
        <v>1</v>
      </c>
      <c r="N49" s="71">
        <v>19</v>
      </c>
      <c r="O49" s="88">
        <v>23</v>
      </c>
      <c r="P49" s="85">
        <f>90-32</f>
        <v>58</v>
      </c>
      <c r="Q49" s="88">
        <f>104-32</f>
        <v>72</v>
      </c>
      <c r="R49" s="85">
        <f t="shared" si="0"/>
        <v>93</v>
      </c>
      <c r="S49" s="88">
        <f t="shared" si="1"/>
        <v>125</v>
      </c>
    </row>
    <row r="50" spans="2:19" ht="15" customHeight="1">
      <c r="B50" s="97" t="s">
        <v>81</v>
      </c>
      <c r="C50" s="20">
        <v>1</v>
      </c>
      <c r="D50" s="20" t="s">
        <v>52</v>
      </c>
      <c r="E50" s="21">
        <v>31</v>
      </c>
      <c r="F50" s="79">
        <v>7</v>
      </c>
      <c r="G50" s="82">
        <v>14</v>
      </c>
      <c r="H50" s="79">
        <v>4</v>
      </c>
      <c r="I50" s="71">
        <v>11</v>
      </c>
      <c r="J50" s="71"/>
      <c r="K50" s="88"/>
      <c r="L50" s="85" t="s">
        <v>195</v>
      </c>
      <c r="M50" s="71" t="s">
        <v>195</v>
      </c>
      <c r="N50" s="71">
        <v>7</v>
      </c>
      <c r="O50" s="88">
        <v>7</v>
      </c>
      <c r="P50" s="85">
        <v>19</v>
      </c>
      <c r="Q50" s="88">
        <v>24</v>
      </c>
      <c r="R50" s="85">
        <f t="shared" si="0"/>
        <v>30</v>
      </c>
      <c r="S50" s="88">
        <f t="shared" si="1"/>
        <v>42</v>
      </c>
    </row>
    <row r="51" spans="2:19" ht="15" customHeight="1">
      <c r="B51" s="97" t="s">
        <v>82</v>
      </c>
      <c r="C51" s="20"/>
      <c r="D51" s="20"/>
      <c r="E51" s="22">
        <v>32</v>
      </c>
      <c r="F51" s="79">
        <v>89</v>
      </c>
      <c r="G51" s="82">
        <v>195</v>
      </c>
      <c r="H51" s="79">
        <v>46</v>
      </c>
      <c r="I51" s="71">
        <v>101</v>
      </c>
      <c r="J51" s="71">
        <v>4</v>
      </c>
      <c r="K51" s="88">
        <v>18</v>
      </c>
      <c r="L51" s="85">
        <v>2</v>
      </c>
      <c r="M51" s="71">
        <v>1</v>
      </c>
      <c r="N51" s="71">
        <v>35</v>
      </c>
      <c r="O51" s="88">
        <v>39</v>
      </c>
      <c r="P51" s="85">
        <f>252-68</f>
        <v>184</v>
      </c>
      <c r="Q51" s="88">
        <f>311-68</f>
        <v>243</v>
      </c>
      <c r="R51" s="85">
        <f t="shared" si="0"/>
        <v>273</v>
      </c>
      <c r="S51" s="88">
        <f t="shared" si="1"/>
        <v>401</v>
      </c>
    </row>
    <row r="52" spans="2:19" ht="15" customHeight="1">
      <c r="B52" s="97" t="s">
        <v>83</v>
      </c>
      <c r="C52" s="20"/>
      <c r="D52" s="20"/>
      <c r="E52" s="22">
        <v>33</v>
      </c>
      <c r="F52" s="79">
        <v>80</v>
      </c>
      <c r="G52" s="82">
        <v>160</v>
      </c>
      <c r="H52" s="79">
        <v>39</v>
      </c>
      <c r="I52" s="71">
        <v>93</v>
      </c>
      <c r="J52" s="71"/>
      <c r="K52" s="88">
        <v>2</v>
      </c>
      <c r="L52" s="85">
        <v>22</v>
      </c>
      <c r="M52" s="71" t="s">
        <v>195</v>
      </c>
      <c r="N52" s="71">
        <v>29</v>
      </c>
      <c r="O52" s="88">
        <v>52</v>
      </c>
      <c r="P52" s="85">
        <f>609-191</f>
        <v>418</v>
      </c>
      <c r="Q52" s="88">
        <f>671-191</f>
        <v>480</v>
      </c>
      <c r="R52" s="85">
        <f aca="true" t="shared" si="2" ref="R52:R83">SUM(H52,J52,O52,P52)</f>
        <v>509</v>
      </c>
      <c r="S52" s="88">
        <f aca="true" t="shared" si="3" ref="S52:S83">SUM(I52,K52,O52,Q52)</f>
        <v>627</v>
      </c>
    </row>
    <row r="53" spans="2:19" ht="15" customHeight="1">
      <c r="B53" s="97" t="s">
        <v>84</v>
      </c>
      <c r="C53" s="20" t="s">
        <v>63</v>
      </c>
      <c r="D53" s="20"/>
      <c r="E53" s="21">
        <v>34</v>
      </c>
      <c r="F53" s="79">
        <v>1526</v>
      </c>
      <c r="G53" s="82">
        <v>2964</v>
      </c>
      <c r="H53" s="79">
        <v>715</v>
      </c>
      <c r="I53" s="71">
        <v>1784</v>
      </c>
      <c r="J53" s="71">
        <v>37</v>
      </c>
      <c r="K53" s="88">
        <v>151</v>
      </c>
      <c r="L53" s="85">
        <v>193</v>
      </c>
      <c r="M53" s="71">
        <v>1</v>
      </c>
      <c r="N53" s="71">
        <v>429</v>
      </c>
      <c r="O53" s="88">
        <v>624</v>
      </c>
      <c r="P53" s="85">
        <f>3977-1158-68</f>
        <v>2751</v>
      </c>
      <c r="Q53" s="88">
        <f>4721-1159-69</f>
        <v>3493</v>
      </c>
      <c r="R53" s="85">
        <f t="shared" si="2"/>
        <v>4127</v>
      </c>
      <c r="S53" s="88">
        <f t="shared" si="3"/>
        <v>6052</v>
      </c>
    </row>
    <row r="54" spans="2:19" ht="15" customHeight="1">
      <c r="B54" s="97" t="s">
        <v>85</v>
      </c>
      <c r="C54" s="20"/>
      <c r="D54" s="20"/>
      <c r="E54" s="22">
        <v>35</v>
      </c>
      <c r="F54" s="79">
        <v>27</v>
      </c>
      <c r="G54" s="82">
        <v>46</v>
      </c>
      <c r="H54" s="79">
        <v>5</v>
      </c>
      <c r="I54" s="71">
        <v>13</v>
      </c>
      <c r="J54" s="71">
        <v>1</v>
      </c>
      <c r="K54" s="88">
        <v>5</v>
      </c>
      <c r="L54" s="85">
        <v>5</v>
      </c>
      <c r="M54" s="71" t="s">
        <v>195</v>
      </c>
      <c r="N54" s="71">
        <v>12</v>
      </c>
      <c r="O54" s="88">
        <v>17</v>
      </c>
      <c r="P54" s="85">
        <f>236-80</f>
        <v>156</v>
      </c>
      <c r="Q54" s="88">
        <f>244-80</f>
        <v>164</v>
      </c>
      <c r="R54" s="85">
        <f t="shared" si="2"/>
        <v>179</v>
      </c>
      <c r="S54" s="88">
        <f t="shared" si="3"/>
        <v>199</v>
      </c>
    </row>
    <row r="55" spans="2:19" ht="15" customHeight="1">
      <c r="B55" s="97" t="s">
        <v>86</v>
      </c>
      <c r="C55" s="20">
        <v>1</v>
      </c>
      <c r="D55" s="20" t="s">
        <v>75</v>
      </c>
      <c r="E55" s="22">
        <v>36</v>
      </c>
      <c r="F55" s="79">
        <v>39</v>
      </c>
      <c r="G55" s="82">
        <v>67</v>
      </c>
      <c r="H55" s="79">
        <v>13</v>
      </c>
      <c r="I55" s="71">
        <v>30</v>
      </c>
      <c r="J55" s="71"/>
      <c r="K55" s="88"/>
      <c r="L55" s="85">
        <v>9</v>
      </c>
      <c r="M55" s="71"/>
      <c r="N55" s="71">
        <v>47</v>
      </c>
      <c r="O55" s="88">
        <v>56</v>
      </c>
      <c r="P55" s="85">
        <f>156-42</f>
        <v>114</v>
      </c>
      <c r="Q55" s="88">
        <f>187-42</f>
        <v>145</v>
      </c>
      <c r="R55" s="85">
        <f t="shared" si="2"/>
        <v>183</v>
      </c>
      <c r="S55" s="88">
        <f t="shared" si="3"/>
        <v>231</v>
      </c>
    </row>
    <row r="56" spans="2:19" ht="15" customHeight="1">
      <c r="B56" s="97" t="s">
        <v>87</v>
      </c>
      <c r="C56" s="20"/>
      <c r="D56" s="20"/>
      <c r="E56" s="21">
        <v>37</v>
      </c>
      <c r="F56" s="79">
        <v>333</v>
      </c>
      <c r="G56" s="82">
        <v>763</v>
      </c>
      <c r="H56" s="79">
        <v>177</v>
      </c>
      <c r="I56" s="71">
        <v>454</v>
      </c>
      <c r="J56" s="71">
        <v>12</v>
      </c>
      <c r="K56" s="88">
        <v>56</v>
      </c>
      <c r="L56" s="85">
        <v>17</v>
      </c>
      <c r="M56" s="71" t="s">
        <v>195</v>
      </c>
      <c r="N56" s="71">
        <v>54</v>
      </c>
      <c r="O56" s="88">
        <v>71</v>
      </c>
      <c r="P56" s="85">
        <f>820-239</f>
        <v>581</v>
      </c>
      <c r="Q56" s="88">
        <f>941-239</f>
        <v>702</v>
      </c>
      <c r="R56" s="85">
        <f t="shared" si="2"/>
        <v>841</v>
      </c>
      <c r="S56" s="88">
        <f t="shared" si="3"/>
        <v>1283</v>
      </c>
    </row>
    <row r="57" spans="2:19" ht="15" customHeight="1">
      <c r="B57" s="97" t="s">
        <v>88</v>
      </c>
      <c r="C57" s="20">
        <v>1</v>
      </c>
      <c r="D57" s="20" t="s">
        <v>75</v>
      </c>
      <c r="E57" s="22">
        <v>38</v>
      </c>
      <c r="F57" s="79">
        <v>14</v>
      </c>
      <c r="G57" s="82">
        <v>32</v>
      </c>
      <c r="H57" s="79">
        <v>11</v>
      </c>
      <c r="I57" s="71">
        <v>26</v>
      </c>
      <c r="J57" s="71"/>
      <c r="K57" s="88">
        <v>4</v>
      </c>
      <c r="L57" s="85">
        <v>1</v>
      </c>
      <c r="M57" s="71"/>
      <c r="N57" s="71">
        <v>13</v>
      </c>
      <c r="O57" s="88">
        <v>15</v>
      </c>
      <c r="P57" s="85">
        <f>165-44</f>
        <v>121</v>
      </c>
      <c r="Q57" s="88">
        <f>185-44</f>
        <v>141</v>
      </c>
      <c r="R57" s="85">
        <f t="shared" si="2"/>
        <v>147</v>
      </c>
      <c r="S57" s="88">
        <f t="shared" si="3"/>
        <v>186</v>
      </c>
    </row>
    <row r="58" spans="2:19" ht="15" customHeight="1">
      <c r="B58" s="97" t="s">
        <v>89</v>
      </c>
      <c r="C58" s="20"/>
      <c r="D58" s="20"/>
      <c r="E58" s="21">
        <v>40</v>
      </c>
      <c r="F58" s="79">
        <v>29</v>
      </c>
      <c r="G58" s="82">
        <v>64</v>
      </c>
      <c r="H58" s="79">
        <v>14</v>
      </c>
      <c r="I58" s="71">
        <v>40</v>
      </c>
      <c r="J58" s="71"/>
      <c r="K58" s="88"/>
      <c r="L58" s="85">
        <v>3</v>
      </c>
      <c r="M58" s="71" t="s">
        <v>195</v>
      </c>
      <c r="N58" s="71">
        <v>3</v>
      </c>
      <c r="O58" s="88">
        <v>7</v>
      </c>
      <c r="P58" s="85">
        <v>34</v>
      </c>
      <c r="Q58" s="88">
        <v>40</v>
      </c>
      <c r="R58" s="85">
        <f t="shared" si="2"/>
        <v>55</v>
      </c>
      <c r="S58" s="88">
        <f t="shared" si="3"/>
        <v>87</v>
      </c>
    </row>
    <row r="59" spans="2:19" ht="15" customHeight="1">
      <c r="B59" s="97" t="s">
        <v>90</v>
      </c>
      <c r="C59" s="20"/>
      <c r="D59" s="20"/>
      <c r="E59" s="22">
        <v>41</v>
      </c>
      <c r="F59" s="79">
        <v>51</v>
      </c>
      <c r="G59" s="82">
        <v>111</v>
      </c>
      <c r="H59" s="79">
        <v>25</v>
      </c>
      <c r="I59" s="71">
        <v>57</v>
      </c>
      <c r="J59" s="71">
        <v>1</v>
      </c>
      <c r="K59" s="88">
        <v>6</v>
      </c>
      <c r="L59" s="85" t="s">
        <v>195</v>
      </c>
      <c r="M59" s="71">
        <v>1</v>
      </c>
      <c r="N59" s="71">
        <v>27</v>
      </c>
      <c r="O59" s="88">
        <v>28</v>
      </c>
      <c r="P59" s="85">
        <f>257-75</f>
        <v>182</v>
      </c>
      <c r="Q59" s="88">
        <f>297-75</f>
        <v>222</v>
      </c>
      <c r="R59" s="85">
        <f t="shared" si="2"/>
        <v>236</v>
      </c>
      <c r="S59" s="88">
        <f t="shared" si="3"/>
        <v>313</v>
      </c>
    </row>
    <row r="60" spans="2:19" ht="15" customHeight="1">
      <c r="B60" s="97" t="s">
        <v>91</v>
      </c>
      <c r="C60" s="20"/>
      <c r="D60" s="20"/>
      <c r="E60" s="22">
        <v>42</v>
      </c>
      <c r="F60" s="79">
        <v>67</v>
      </c>
      <c r="G60" s="82">
        <v>129</v>
      </c>
      <c r="H60" s="79">
        <v>31</v>
      </c>
      <c r="I60" s="71">
        <v>74</v>
      </c>
      <c r="J60" s="71">
        <v>2</v>
      </c>
      <c r="K60" s="88">
        <v>9</v>
      </c>
      <c r="L60" s="85">
        <v>8</v>
      </c>
      <c r="M60" s="71">
        <v>1</v>
      </c>
      <c r="N60" s="71">
        <v>63</v>
      </c>
      <c r="O60" s="88">
        <v>73</v>
      </c>
      <c r="P60" s="85">
        <f>278-91</f>
        <v>187</v>
      </c>
      <c r="Q60" s="88">
        <f>333-91</f>
        <v>242</v>
      </c>
      <c r="R60" s="85">
        <f t="shared" si="2"/>
        <v>293</v>
      </c>
      <c r="S60" s="88">
        <f t="shared" si="3"/>
        <v>398</v>
      </c>
    </row>
    <row r="61" spans="2:19" ht="15" customHeight="1">
      <c r="B61" s="97" t="s">
        <v>92</v>
      </c>
      <c r="C61" s="20"/>
      <c r="D61" s="20"/>
      <c r="E61" s="21">
        <v>43</v>
      </c>
      <c r="F61" s="79">
        <v>1961</v>
      </c>
      <c r="G61" s="82">
        <v>4151</v>
      </c>
      <c r="H61" s="79">
        <v>1065</v>
      </c>
      <c r="I61" s="71">
        <v>2701</v>
      </c>
      <c r="J61" s="71">
        <v>43</v>
      </c>
      <c r="K61" s="88">
        <v>169</v>
      </c>
      <c r="L61" s="85">
        <v>135</v>
      </c>
      <c r="M61" s="71">
        <v>5</v>
      </c>
      <c r="N61" s="71">
        <v>384</v>
      </c>
      <c r="O61" s="88">
        <v>524</v>
      </c>
      <c r="P61" s="85">
        <f>3412-953-21</f>
        <v>2438</v>
      </c>
      <c r="Q61" s="88">
        <f>4206-953-21</f>
        <v>3232</v>
      </c>
      <c r="R61" s="85">
        <f t="shared" si="2"/>
        <v>4070</v>
      </c>
      <c r="S61" s="88">
        <f t="shared" si="3"/>
        <v>6626</v>
      </c>
    </row>
    <row r="62" spans="2:19" ht="15" customHeight="1">
      <c r="B62" s="97" t="s">
        <v>93</v>
      </c>
      <c r="C62" s="20"/>
      <c r="D62" s="20"/>
      <c r="E62" s="22">
        <v>44</v>
      </c>
      <c r="F62" s="79">
        <v>642</v>
      </c>
      <c r="G62" s="82">
        <v>1233</v>
      </c>
      <c r="H62" s="79">
        <v>295</v>
      </c>
      <c r="I62" s="71">
        <v>700</v>
      </c>
      <c r="J62" s="71">
        <v>7</v>
      </c>
      <c r="K62" s="88">
        <v>30</v>
      </c>
      <c r="L62" s="85">
        <v>67</v>
      </c>
      <c r="M62" s="71" t="s">
        <v>195</v>
      </c>
      <c r="N62" s="71">
        <v>215</v>
      </c>
      <c r="O62" s="88">
        <v>282</v>
      </c>
      <c r="P62" s="85">
        <f>1240-362</f>
        <v>878</v>
      </c>
      <c r="Q62" s="88">
        <f>1432-362</f>
        <v>1070</v>
      </c>
      <c r="R62" s="85">
        <f t="shared" si="2"/>
        <v>1462</v>
      </c>
      <c r="S62" s="88">
        <f t="shared" si="3"/>
        <v>2082</v>
      </c>
    </row>
    <row r="63" spans="2:19" ht="15" customHeight="1">
      <c r="B63" s="97" t="s">
        <v>94</v>
      </c>
      <c r="C63" s="20"/>
      <c r="D63" s="20"/>
      <c r="E63" s="22">
        <v>45</v>
      </c>
      <c r="F63" s="79">
        <v>104</v>
      </c>
      <c r="G63" s="82">
        <v>195</v>
      </c>
      <c r="H63" s="79">
        <v>48</v>
      </c>
      <c r="I63" s="71">
        <v>106</v>
      </c>
      <c r="J63" s="71">
        <v>2</v>
      </c>
      <c r="K63" s="88">
        <v>12</v>
      </c>
      <c r="L63" s="85">
        <v>14</v>
      </c>
      <c r="M63" s="71">
        <v>1</v>
      </c>
      <c r="N63" s="71">
        <v>46</v>
      </c>
      <c r="O63" s="88">
        <v>61</v>
      </c>
      <c r="P63" s="85">
        <f>435-150</f>
        <v>285</v>
      </c>
      <c r="Q63" s="88">
        <f>506-150</f>
        <v>356</v>
      </c>
      <c r="R63" s="85">
        <f t="shared" si="2"/>
        <v>396</v>
      </c>
      <c r="S63" s="88">
        <f t="shared" si="3"/>
        <v>535</v>
      </c>
    </row>
    <row r="64" spans="2:19" ht="15" customHeight="1">
      <c r="B64" s="97" t="s">
        <v>95</v>
      </c>
      <c r="C64" s="20"/>
      <c r="D64" s="20"/>
      <c r="E64" s="22">
        <v>47</v>
      </c>
      <c r="F64" s="79">
        <v>134</v>
      </c>
      <c r="G64" s="82">
        <v>257</v>
      </c>
      <c r="H64" s="79">
        <v>56</v>
      </c>
      <c r="I64" s="71">
        <v>135</v>
      </c>
      <c r="J64" s="71">
        <v>3</v>
      </c>
      <c r="K64" s="88">
        <v>15</v>
      </c>
      <c r="L64" s="85">
        <v>14</v>
      </c>
      <c r="M64" s="71" t="s">
        <v>195</v>
      </c>
      <c r="N64" s="71">
        <v>42</v>
      </c>
      <c r="O64" s="88">
        <v>57</v>
      </c>
      <c r="P64" s="85">
        <f>586-182</f>
        <v>404</v>
      </c>
      <c r="Q64" s="88">
        <f>646-182</f>
        <v>464</v>
      </c>
      <c r="R64" s="85">
        <f t="shared" si="2"/>
        <v>520</v>
      </c>
      <c r="S64" s="88">
        <f t="shared" si="3"/>
        <v>671</v>
      </c>
    </row>
    <row r="65" spans="2:19" ht="15" customHeight="1">
      <c r="B65" s="97" t="s">
        <v>96</v>
      </c>
      <c r="C65" s="20">
        <v>1</v>
      </c>
      <c r="D65" s="20" t="s">
        <v>52</v>
      </c>
      <c r="E65" s="22">
        <v>39</v>
      </c>
      <c r="F65" s="79">
        <v>11</v>
      </c>
      <c r="G65" s="82">
        <v>26</v>
      </c>
      <c r="H65" s="79">
        <v>3</v>
      </c>
      <c r="I65" s="71">
        <v>8</v>
      </c>
      <c r="J65" s="71">
        <v>1</v>
      </c>
      <c r="K65" s="88">
        <v>8</v>
      </c>
      <c r="L65" s="85">
        <v>1</v>
      </c>
      <c r="M65" s="71" t="s">
        <v>195</v>
      </c>
      <c r="N65" s="71">
        <v>2</v>
      </c>
      <c r="O65" s="88">
        <v>3</v>
      </c>
      <c r="P65" s="85">
        <v>28</v>
      </c>
      <c r="Q65" s="88">
        <v>35</v>
      </c>
      <c r="R65" s="85">
        <f t="shared" si="2"/>
        <v>35</v>
      </c>
      <c r="S65" s="88">
        <f t="shared" si="3"/>
        <v>54</v>
      </c>
    </row>
    <row r="66" spans="2:19" ht="15" customHeight="1">
      <c r="B66" s="97" t="s">
        <v>105</v>
      </c>
      <c r="C66" s="20">
        <v>1</v>
      </c>
      <c r="D66" s="20" t="s">
        <v>47</v>
      </c>
      <c r="E66" s="21">
        <v>46</v>
      </c>
      <c r="F66" s="79">
        <v>4</v>
      </c>
      <c r="G66" s="82">
        <v>5</v>
      </c>
      <c r="H66" s="79">
        <v>0</v>
      </c>
      <c r="I66" s="71">
        <v>1</v>
      </c>
      <c r="J66" s="71"/>
      <c r="K66" s="88"/>
      <c r="L66" s="85">
        <v>1</v>
      </c>
      <c r="M66" s="71" t="s">
        <v>195</v>
      </c>
      <c r="N66" s="71">
        <v>14</v>
      </c>
      <c r="O66" s="88">
        <v>15</v>
      </c>
      <c r="P66" s="85">
        <v>27</v>
      </c>
      <c r="Q66" s="88">
        <v>27</v>
      </c>
      <c r="R66" s="85">
        <f t="shared" si="2"/>
        <v>42</v>
      </c>
      <c r="S66" s="88">
        <f t="shared" si="3"/>
        <v>43</v>
      </c>
    </row>
    <row r="67" spans="2:19" ht="15" customHeight="1">
      <c r="B67" s="97" t="s">
        <v>106</v>
      </c>
      <c r="C67" s="20"/>
      <c r="D67" s="20"/>
      <c r="E67" s="22">
        <v>48</v>
      </c>
      <c r="F67" s="79">
        <v>62</v>
      </c>
      <c r="G67" s="82">
        <v>112</v>
      </c>
      <c r="H67" s="79">
        <v>27</v>
      </c>
      <c r="I67" s="71">
        <v>66</v>
      </c>
      <c r="J67" s="71">
        <v>1</v>
      </c>
      <c r="K67" s="88">
        <v>5</v>
      </c>
      <c r="L67" s="85">
        <v>1</v>
      </c>
      <c r="M67" s="71" t="s">
        <v>195</v>
      </c>
      <c r="N67" s="71">
        <v>29</v>
      </c>
      <c r="O67" s="88">
        <v>31</v>
      </c>
      <c r="P67" s="85">
        <f>162-45</f>
        <v>117</v>
      </c>
      <c r="Q67" s="88">
        <f>192-45</f>
        <v>147</v>
      </c>
      <c r="R67" s="85">
        <f t="shared" si="2"/>
        <v>176</v>
      </c>
      <c r="S67" s="88">
        <f t="shared" si="3"/>
        <v>249</v>
      </c>
    </row>
    <row r="68" spans="2:19" ht="15" customHeight="1">
      <c r="B68" s="97" t="s">
        <v>107</v>
      </c>
      <c r="C68" s="20"/>
      <c r="D68" s="20"/>
      <c r="E68" s="21">
        <v>49</v>
      </c>
      <c r="F68" s="79">
        <v>527</v>
      </c>
      <c r="G68" s="82">
        <v>1177</v>
      </c>
      <c r="H68" s="79">
        <v>307</v>
      </c>
      <c r="I68" s="71">
        <v>766</v>
      </c>
      <c r="J68" s="71">
        <v>16</v>
      </c>
      <c r="K68" s="88">
        <v>64</v>
      </c>
      <c r="L68" s="85">
        <v>74</v>
      </c>
      <c r="M68" s="71" t="s">
        <v>195</v>
      </c>
      <c r="N68" s="71">
        <v>143</v>
      </c>
      <c r="O68" s="88">
        <v>217</v>
      </c>
      <c r="P68" s="85">
        <f>1484-452-11</f>
        <v>1021</v>
      </c>
      <c r="Q68" s="88">
        <f>1765-452-11</f>
        <v>1302</v>
      </c>
      <c r="R68" s="85">
        <f t="shared" si="2"/>
        <v>1561</v>
      </c>
      <c r="S68" s="88">
        <f t="shared" si="3"/>
        <v>2349</v>
      </c>
    </row>
    <row r="69" spans="2:19" ht="15" customHeight="1">
      <c r="B69" s="97" t="s">
        <v>108</v>
      </c>
      <c r="C69" s="20">
        <v>1</v>
      </c>
      <c r="D69" s="20" t="s">
        <v>75</v>
      </c>
      <c r="E69" s="22">
        <v>50</v>
      </c>
      <c r="F69" s="79">
        <v>24</v>
      </c>
      <c r="G69" s="82">
        <v>59</v>
      </c>
      <c r="H69" s="79">
        <v>12</v>
      </c>
      <c r="I69" s="71">
        <v>41</v>
      </c>
      <c r="J69" s="71">
        <v>1</v>
      </c>
      <c r="K69" s="88">
        <v>8</v>
      </c>
      <c r="L69" s="85">
        <v>22</v>
      </c>
      <c r="M69" s="71"/>
      <c r="N69" s="71">
        <v>65</v>
      </c>
      <c r="O69" s="88">
        <v>87</v>
      </c>
      <c r="P69" s="85">
        <f>112-66</f>
        <v>46</v>
      </c>
      <c r="Q69" s="88">
        <f>123-66</f>
        <v>57</v>
      </c>
      <c r="R69" s="85">
        <f t="shared" si="2"/>
        <v>146</v>
      </c>
      <c r="S69" s="88">
        <f t="shared" si="3"/>
        <v>193</v>
      </c>
    </row>
    <row r="70" spans="2:19" ht="15" customHeight="1">
      <c r="B70" s="97" t="s">
        <v>109</v>
      </c>
      <c r="C70" s="20" t="s">
        <v>63</v>
      </c>
      <c r="D70" s="20"/>
      <c r="E70" s="22">
        <v>51</v>
      </c>
      <c r="F70" s="79">
        <v>207</v>
      </c>
      <c r="G70" s="82">
        <v>376</v>
      </c>
      <c r="H70" s="79">
        <v>89</v>
      </c>
      <c r="I70" s="71">
        <v>204</v>
      </c>
      <c r="J70" s="71">
        <v>3</v>
      </c>
      <c r="K70" s="88">
        <v>18</v>
      </c>
      <c r="L70" s="85">
        <v>23</v>
      </c>
      <c r="M70" s="71" t="s">
        <v>195</v>
      </c>
      <c r="N70" s="71">
        <v>80</v>
      </c>
      <c r="O70" s="88">
        <v>104</v>
      </c>
      <c r="P70" s="85">
        <f>1476-460</f>
        <v>1016</v>
      </c>
      <c r="Q70" s="88">
        <f>1557-460</f>
        <v>1097</v>
      </c>
      <c r="R70" s="85">
        <f t="shared" si="2"/>
        <v>1212</v>
      </c>
      <c r="S70" s="88">
        <f t="shared" si="3"/>
        <v>1423</v>
      </c>
    </row>
    <row r="71" spans="2:19" ht="15" customHeight="1">
      <c r="B71" s="97" t="s">
        <v>110</v>
      </c>
      <c r="C71" s="20"/>
      <c r="D71" s="20"/>
      <c r="E71" s="21">
        <v>52</v>
      </c>
      <c r="F71" s="79">
        <v>148</v>
      </c>
      <c r="G71" s="82">
        <v>253</v>
      </c>
      <c r="H71" s="79">
        <v>48</v>
      </c>
      <c r="I71" s="71">
        <v>111</v>
      </c>
      <c r="J71" s="71">
        <v>1</v>
      </c>
      <c r="K71" s="88">
        <v>5</v>
      </c>
      <c r="L71" s="85">
        <v>19</v>
      </c>
      <c r="M71" s="71">
        <v>2</v>
      </c>
      <c r="N71" s="71">
        <v>107</v>
      </c>
      <c r="O71" s="88">
        <v>128</v>
      </c>
      <c r="P71" s="85">
        <f>648-244</f>
        <v>404</v>
      </c>
      <c r="Q71" s="88">
        <f>702-244</f>
        <v>458</v>
      </c>
      <c r="R71" s="85">
        <f t="shared" si="2"/>
        <v>581</v>
      </c>
      <c r="S71" s="88">
        <f t="shared" si="3"/>
        <v>702</v>
      </c>
    </row>
    <row r="72" spans="2:19" ht="15" customHeight="1">
      <c r="B72" s="97" t="s">
        <v>111</v>
      </c>
      <c r="C72" s="20">
        <v>1</v>
      </c>
      <c r="D72" s="20" t="s">
        <v>47</v>
      </c>
      <c r="E72" s="22">
        <v>53</v>
      </c>
      <c r="F72" s="79">
        <v>5</v>
      </c>
      <c r="G72" s="82">
        <v>12</v>
      </c>
      <c r="H72" s="79">
        <v>4</v>
      </c>
      <c r="I72" s="71">
        <v>11</v>
      </c>
      <c r="J72" s="71"/>
      <c r="K72" s="88"/>
      <c r="L72" s="85" t="s">
        <v>195</v>
      </c>
      <c r="M72" s="71" t="s">
        <v>195</v>
      </c>
      <c r="N72" s="71">
        <v>1</v>
      </c>
      <c r="O72" s="88">
        <v>2</v>
      </c>
      <c r="P72" s="85">
        <v>30</v>
      </c>
      <c r="Q72" s="88">
        <v>34</v>
      </c>
      <c r="R72" s="85">
        <f t="shared" si="2"/>
        <v>36</v>
      </c>
      <c r="S72" s="88">
        <f t="shared" si="3"/>
        <v>47</v>
      </c>
    </row>
    <row r="73" spans="2:19" ht="15" customHeight="1">
      <c r="B73" s="97" t="s">
        <v>112</v>
      </c>
      <c r="C73" s="20"/>
      <c r="D73" s="20"/>
      <c r="E73" s="22">
        <v>54</v>
      </c>
      <c r="F73" s="79">
        <v>159</v>
      </c>
      <c r="G73" s="82">
        <v>314</v>
      </c>
      <c r="H73" s="79">
        <v>63</v>
      </c>
      <c r="I73" s="71">
        <v>153</v>
      </c>
      <c r="J73" s="71">
        <v>7</v>
      </c>
      <c r="K73" s="88">
        <v>33</v>
      </c>
      <c r="L73" s="85">
        <v>32</v>
      </c>
      <c r="M73" s="71">
        <v>2</v>
      </c>
      <c r="N73" s="71">
        <v>48</v>
      </c>
      <c r="O73" s="88">
        <v>82</v>
      </c>
      <c r="P73" s="85">
        <f>600-200</f>
        <v>400</v>
      </c>
      <c r="Q73" s="88">
        <f>681-200</f>
        <v>481</v>
      </c>
      <c r="R73" s="85">
        <f t="shared" si="2"/>
        <v>552</v>
      </c>
      <c r="S73" s="88">
        <f t="shared" si="3"/>
        <v>749</v>
      </c>
    </row>
    <row r="74" spans="2:19" ht="15" customHeight="1">
      <c r="B74" s="97" t="s">
        <v>113</v>
      </c>
      <c r="C74" s="20">
        <v>1</v>
      </c>
      <c r="D74" s="20" t="s">
        <v>52</v>
      </c>
      <c r="E74" s="21">
        <v>55</v>
      </c>
      <c r="F74" s="79">
        <v>12</v>
      </c>
      <c r="G74" s="82">
        <v>23</v>
      </c>
      <c r="H74" s="79">
        <v>3</v>
      </c>
      <c r="I74" s="71">
        <v>4</v>
      </c>
      <c r="J74" s="71"/>
      <c r="K74" s="88">
        <v>1</v>
      </c>
      <c r="L74" s="85">
        <v>2</v>
      </c>
      <c r="M74" s="71" t="s">
        <v>195</v>
      </c>
      <c r="N74" s="71">
        <v>7</v>
      </c>
      <c r="O74" s="88">
        <v>10</v>
      </c>
      <c r="P74" s="85">
        <v>27</v>
      </c>
      <c r="Q74" s="88">
        <v>46</v>
      </c>
      <c r="R74" s="85">
        <f t="shared" si="2"/>
        <v>40</v>
      </c>
      <c r="S74" s="88">
        <f t="shared" si="3"/>
        <v>61</v>
      </c>
    </row>
    <row r="75" spans="2:19" ht="15" customHeight="1">
      <c r="B75" s="97" t="s">
        <v>114</v>
      </c>
      <c r="C75" s="20"/>
      <c r="D75" s="20"/>
      <c r="E75" s="22">
        <v>56</v>
      </c>
      <c r="F75" s="79">
        <v>43</v>
      </c>
      <c r="G75" s="82">
        <v>99</v>
      </c>
      <c r="H75" s="79">
        <v>16</v>
      </c>
      <c r="I75" s="71">
        <v>43</v>
      </c>
      <c r="J75" s="71">
        <v>2</v>
      </c>
      <c r="K75" s="88">
        <v>11</v>
      </c>
      <c r="L75" s="85" t="s">
        <v>195</v>
      </c>
      <c r="M75" s="71" t="s">
        <v>195</v>
      </c>
      <c r="N75" s="71">
        <v>11</v>
      </c>
      <c r="O75" s="88">
        <v>11</v>
      </c>
      <c r="P75" s="85">
        <f>215-64</f>
        <v>151</v>
      </c>
      <c r="Q75" s="88">
        <f>250-64</f>
        <v>186</v>
      </c>
      <c r="R75" s="85">
        <f t="shared" si="2"/>
        <v>180</v>
      </c>
      <c r="S75" s="88">
        <f t="shared" si="3"/>
        <v>251</v>
      </c>
    </row>
    <row r="76" spans="2:19" ht="15" customHeight="1">
      <c r="B76" s="97" t="s">
        <v>115</v>
      </c>
      <c r="C76" s="20" t="s">
        <v>63</v>
      </c>
      <c r="D76" s="20"/>
      <c r="E76" s="22">
        <v>57</v>
      </c>
      <c r="F76" s="79">
        <v>240</v>
      </c>
      <c r="G76" s="82">
        <v>431</v>
      </c>
      <c r="H76" s="79">
        <v>113</v>
      </c>
      <c r="I76" s="71">
        <v>258</v>
      </c>
      <c r="J76" s="71">
        <v>4</v>
      </c>
      <c r="K76" s="88">
        <v>19</v>
      </c>
      <c r="L76" s="85">
        <v>78</v>
      </c>
      <c r="M76" s="71" t="s">
        <v>195</v>
      </c>
      <c r="N76" s="71">
        <v>89</v>
      </c>
      <c r="O76" s="88">
        <v>167</v>
      </c>
      <c r="P76" s="85">
        <f>1248-427</f>
        <v>821</v>
      </c>
      <c r="Q76" s="88">
        <f>1360-427</f>
        <v>933</v>
      </c>
      <c r="R76" s="85">
        <f t="shared" si="2"/>
        <v>1105</v>
      </c>
      <c r="S76" s="88">
        <f t="shared" si="3"/>
        <v>1377</v>
      </c>
    </row>
    <row r="77" spans="2:19" ht="15" customHeight="1">
      <c r="B77" s="97" t="s">
        <v>116</v>
      </c>
      <c r="C77" s="20"/>
      <c r="D77" s="20"/>
      <c r="E77" s="21">
        <v>58</v>
      </c>
      <c r="F77" s="79">
        <v>198</v>
      </c>
      <c r="G77" s="82">
        <v>420</v>
      </c>
      <c r="H77" s="79">
        <v>97</v>
      </c>
      <c r="I77" s="71">
        <v>221</v>
      </c>
      <c r="J77" s="71">
        <v>9</v>
      </c>
      <c r="K77" s="88">
        <v>39</v>
      </c>
      <c r="L77" s="85">
        <v>12</v>
      </c>
      <c r="M77" s="71">
        <v>1</v>
      </c>
      <c r="N77" s="71">
        <v>54</v>
      </c>
      <c r="O77" s="88">
        <v>68</v>
      </c>
      <c r="P77" s="85">
        <f>488-157</f>
        <v>331</v>
      </c>
      <c r="Q77" s="88">
        <f>588-157</f>
        <v>431</v>
      </c>
      <c r="R77" s="85">
        <f t="shared" si="2"/>
        <v>505</v>
      </c>
      <c r="S77" s="88">
        <f t="shared" si="3"/>
        <v>759</v>
      </c>
    </row>
    <row r="78" spans="2:19" ht="15" customHeight="1">
      <c r="B78" s="97" t="s">
        <v>117</v>
      </c>
      <c r="C78" s="20"/>
      <c r="D78" s="20"/>
      <c r="E78" s="22">
        <v>59</v>
      </c>
      <c r="F78" s="79">
        <v>646</v>
      </c>
      <c r="G78" s="82">
        <v>1420</v>
      </c>
      <c r="H78" s="79">
        <v>355</v>
      </c>
      <c r="I78" s="71">
        <v>850</v>
      </c>
      <c r="J78" s="71">
        <v>26</v>
      </c>
      <c r="K78" s="88">
        <v>105</v>
      </c>
      <c r="L78" s="85">
        <v>71</v>
      </c>
      <c r="M78" s="71">
        <v>1</v>
      </c>
      <c r="N78" s="71">
        <v>138</v>
      </c>
      <c r="O78" s="88">
        <v>210</v>
      </c>
      <c r="P78" s="85">
        <f>1523-439-13</f>
        <v>1071</v>
      </c>
      <c r="Q78" s="88">
        <f>1852-439-13</f>
        <v>1400</v>
      </c>
      <c r="R78" s="85">
        <f t="shared" si="2"/>
        <v>1662</v>
      </c>
      <c r="S78" s="88">
        <f t="shared" si="3"/>
        <v>2565</v>
      </c>
    </row>
    <row r="79" spans="2:19" ht="15" customHeight="1">
      <c r="B79" s="97" t="s">
        <v>118</v>
      </c>
      <c r="C79" s="20"/>
      <c r="D79" s="20"/>
      <c r="E79" s="22">
        <v>60</v>
      </c>
      <c r="F79" s="79">
        <v>89</v>
      </c>
      <c r="G79" s="82">
        <v>171</v>
      </c>
      <c r="H79" s="79">
        <v>30</v>
      </c>
      <c r="I79" s="71">
        <v>77</v>
      </c>
      <c r="J79" s="71">
        <v>1</v>
      </c>
      <c r="K79" s="88">
        <v>10</v>
      </c>
      <c r="L79" s="85">
        <v>22</v>
      </c>
      <c r="M79" s="71" t="s">
        <v>195</v>
      </c>
      <c r="N79" s="71">
        <v>33</v>
      </c>
      <c r="O79" s="88">
        <v>55</v>
      </c>
      <c r="P79" s="85">
        <f>461-148</f>
        <v>313</v>
      </c>
      <c r="Q79" s="88">
        <f>523-148</f>
        <v>375</v>
      </c>
      <c r="R79" s="85">
        <f t="shared" si="2"/>
        <v>399</v>
      </c>
      <c r="S79" s="88">
        <f t="shared" si="3"/>
        <v>517</v>
      </c>
    </row>
    <row r="80" spans="2:19" ht="15" customHeight="1">
      <c r="B80" s="97" t="s">
        <v>119</v>
      </c>
      <c r="C80" s="20"/>
      <c r="D80" s="20"/>
      <c r="E80" s="21">
        <v>61</v>
      </c>
      <c r="F80" s="79">
        <v>30</v>
      </c>
      <c r="G80" s="82">
        <v>60</v>
      </c>
      <c r="H80" s="79">
        <v>19</v>
      </c>
      <c r="I80" s="71">
        <v>38</v>
      </c>
      <c r="J80" s="71">
        <v>1</v>
      </c>
      <c r="K80" s="88">
        <v>8</v>
      </c>
      <c r="L80" s="85">
        <v>9</v>
      </c>
      <c r="M80" s="71" t="s">
        <v>195</v>
      </c>
      <c r="N80" s="71">
        <v>16</v>
      </c>
      <c r="O80" s="88">
        <v>26</v>
      </c>
      <c r="P80" s="85">
        <f>103-34</f>
        <v>69</v>
      </c>
      <c r="Q80" s="88">
        <f>120-34</f>
        <v>86</v>
      </c>
      <c r="R80" s="85">
        <f t="shared" si="2"/>
        <v>115</v>
      </c>
      <c r="S80" s="88">
        <f t="shared" si="3"/>
        <v>158</v>
      </c>
    </row>
    <row r="81" spans="2:19" ht="15" customHeight="1">
      <c r="B81" s="97" t="s">
        <v>120</v>
      </c>
      <c r="C81" s="20" t="s">
        <v>63</v>
      </c>
      <c r="D81" s="20"/>
      <c r="E81" s="22">
        <v>62</v>
      </c>
      <c r="F81" s="79">
        <v>859</v>
      </c>
      <c r="G81" s="82">
        <v>1842</v>
      </c>
      <c r="H81" s="79">
        <v>463</v>
      </c>
      <c r="I81" s="71">
        <v>1146</v>
      </c>
      <c r="J81" s="71">
        <v>13</v>
      </c>
      <c r="K81" s="88">
        <v>58</v>
      </c>
      <c r="L81" s="85">
        <v>116</v>
      </c>
      <c r="M81" s="71">
        <v>2</v>
      </c>
      <c r="N81" s="71">
        <v>263</v>
      </c>
      <c r="O81" s="88">
        <v>382</v>
      </c>
      <c r="P81" s="85">
        <f>2304-651</f>
        <v>1653</v>
      </c>
      <c r="Q81" s="88">
        <f>2568-652</f>
        <v>1916</v>
      </c>
      <c r="R81" s="85">
        <f t="shared" si="2"/>
        <v>2511</v>
      </c>
      <c r="S81" s="88">
        <f t="shared" si="3"/>
        <v>3502</v>
      </c>
    </row>
    <row r="82" spans="2:19" ht="15" customHeight="1">
      <c r="B82" s="97" t="s">
        <v>121</v>
      </c>
      <c r="C82" s="20">
        <v>1</v>
      </c>
      <c r="D82" s="20" t="s">
        <v>47</v>
      </c>
      <c r="E82" s="22">
        <v>63</v>
      </c>
      <c r="F82" s="79">
        <v>8</v>
      </c>
      <c r="G82" s="82">
        <v>21</v>
      </c>
      <c r="H82" s="79">
        <v>5</v>
      </c>
      <c r="I82" s="71">
        <v>14</v>
      </c>
      <c r="J82" s="71">
        <v>1</v>
      </c>
      <c r="K82" s="88">
        <v>4</v>
      </c>
      <c r="L82" s="85" t="s">
        <v>195</v>
      </c>
      <c r="M82" s="71" t="s">
        <v>195</v>
      </c>
      <c r="N82" s="71">
        <v>6</v>
      </c>
      <c r="O82" s="88">
        <v>6</v>
      </c>
      <c r="P82" s="85">
        <v>40</v>
      </c>
      <c r="Q82" s="88">
        <v>61</v>
      </c>
      <c r="R82" s="85">
        <f t="shared" si="2"/>
        <v>52</v>
      </c>
      <c r="S82" s="88">
        <f t="shared" si="3"/>
        <v>85</v>
      </c>
    </row>
    <row r="83" spans="2:19" ht="15" customHeight="1">
      <c r="B83" s="97" t="s">
        <v>122</v>
      </c>
      <c r="C83" s="20" t="s">
        <v>63</v>
      </c>
      <c r="D83" s="20"/>
      <c r="E83" s="21">
        <v>64</v>
      </c>
      <c r="F83" s="79">
        <v>17286</v>
      </c>
      <c r="G83" s="82">
        <v>37398</v>
      </c>
      <c r="H83" s="79">
        <v>8719</v>
      </c>
      <c r="I83" s="71">
        <v>23720</v>
      </c>
      <c r="J83" s="71">
        <v>437</v>
      </c>
      <c r="K83" s="88">
        <v>1842</v>
      </c>
      <c r="L83" s="85">
        <v>1099</v>
      </c>
      <c r="M83" s="71">
        <v>22</v>
      </c>
      <c r="N83" s="71">
        <v>2771</v>
      </c>
      <c r="O83" s="88">
        <v>3892</v>
      </c>
      <c r="P83" s="85">
        <f>14937-3692-557</f>
        <v>10688</v>
      </c>
      <c r="Q83" s="88">
        <f>18776-3693-559</f>
        <v>14524</v>
      </c>
      <c r="R83" s="85">
        <f t="shared" si="2"/>
        <v>23736</v>
      </c>
      <c r="S83" s="88">
        <f t="shared" si="3"/>
        <v>43978</v>
      </c>
    </row>
    <row r="84" spans="2:19" ht="15" customHeight="1">
      <c r="B84" s="97" t="s">
        <v>123</v>
      </c>
      <c r="C84" s="20">
        <v>1</v>
      </c>
      <c r="D84" s="20" t="s">
        <v>52</v>
      </c>
      <c r="E84" s="22">
        <v>65</v>
      </c>
      <c r="F84" s="79">
        <v>2</v>
      </c>
      <c r="G84" s="82">
        <v>5</v>
      </c>
      <c r="H84" s="79">
        <v>2</v>
      </c>
      <c r="I84" s="71">
        <v>5</v>
      </c>
      <c r="J84" s="71"/>
      <c r="K84" s="88"/>
      <c r="L84" s="85">
        <v>1</v>
      </c>
      <c r="M84" s="71">
        <v>2</v>
      </c>
      <c r="N84" s="71">
        <v>9</v>
      </c>
      <c r="O84" s="88">
        <v>12</v>
      </c>
      <c r="P84" s="85">
        <v>12</v>
      </c>
      <c r="Q84" s="88">
        <v>15</v>
      </c>
      <c r="R84" s="85">
        <f aca="true" t="shared" si="4" ref="R84:R115">SUM(H84,J84,O84,P84)</f>
        <v>26</v>
      </c>
      <c r="S84" s="88">
        <f aca="true" t="shared" si="5" ref="S84:S115">SUM(I84,K84,O84,Q84)</f>
        <v>32</v>
      </c>
    </row>
    <row r="85" spans="2:19" ht="15" customHeight="1">
      <c r="B85" s="97" t="s">
        <v>124</v>
      </c>
      <c r="C85" s="20">
        <v>1</v>
      </c>
      <c r="D85" s="20" t="s">
        <v>52</v>
      </c>
      <c r="E85" s="22">
        <v>66</v>
      </c>
      <c r="F85" s="79">
        <v>13</v>
      </c>
      <c r="G85" s="82">
        <v>29</v>
      </c>
      <c r="H85" s="79">
        <v>7</v>
      </c>
      <c r="I85" s="71">
        <v>16</v>
      </c>
      <c r="J85" s="71"/>
      <c r="K85" s="88">
        <v>2</v>
      </c>
      <c r="L85" s="85">
        <v>3</v>
      </c>
      <c r="M85" s="71" t="s">
        <v>195</v>
      </c>
      <c r="N85" s="71">
        <v>22</v>
      </c>
      <c r="O85" s="88">
        <v>25</v>
      </c>
      <c r="P85" s="85">
        <f>75-30</f>
        <v>45</v>
      </c>
      <c r="Q85" s="88">
        <f>92-30</f>
        <v>62</v>
      </c>
      <c r="R85" s="85">
        <f t="shared" si="4"/>
        <v>77</v>
      </c>
      <c r="S85" s="88">
        <f t="shared" si="5"/>
        <v>105</v>
      </c>
    </row>
    <row r="86" spans="2:19" ht="15" customHeight="1">
      <c r="B86" s="97" t="s">
        <v>125</v>
      </c>
      <c r="C86" s="20"/>
      <c r="D86" s="20"/>
      <c r="E86" s="21">
        <v>67</v>
      </c>
      <c r="F86" s="79">
        <v>27</v>
      </c>
      <c r="G86" s="82">
        <v>52</v>
      </c>
      <c r="H86" s="79">
        <v>11</v>
      </c>
      <c r="I86" s="71">
        <v>26</v>
      </c>
      <c r="J86" s="71">
        <v>1</v>
      </c>
      <c r="K86" s="88">
        <v>5</v>
      </c>
      <c r="L86" s="85">
        <v>5</v>
      </c>
      <c r="M86" s="71" t="s">
        <v>195</v>
      </c>
      <c r="N86" s="71">
        <v>19</v>
      </c>
      <c r="O86" s="88">
        <v>24</v>
      </c>
      <c r="P86" s="85">
        <f>96-23</f>
        <v>73</v>
      </c>
      <c r="Q86" s="88">
        <f>119-23</f>
        <v>96</v>
      </c>
      <c r="R86" s="85">
        <f t="shared" si="4"/>
        <v>109</v>
      </c>
      <c r="S86" s="88">
        <f t="shared" si="5"/>
        <v>151</v>
      </c>
    </row>
    <row r="87" spans="2:19" ht="15" customHeight="1">
      <c r="B87" s="97" t="s">
        <v>126</v>
      </c>
      <c r="C87" s="20">
        <v>1</v>
      </c>
      <c r="D87" s="20" t="s">
        <v>52</v>
      </c>
      <c r="E87" s="22">
        <v>68</v>
      </c>
      <c r="F87" s="79">
        <v>12</v>
      </c>
      <c r="G87" s="82">
        <v>22</v>
      </c>
      <c r="H87" s="79">
        <v>3</v>
      </c>
      <c r="I87" s="71">
        <v>10</v>
      </c>
      <c r="J87" s="71"/>
      <c r="K87" s="88">
        <v>3</v>
      </c>
      <c r="L87" s="85">
        <v>6</v>
      </c>
      <c r="M87" s="71" t="s">
        <v>195</v>
      </c>
      <c r="N87" s="71">
        <v>6</v>
      </c>
      <c r="O87" s="88">
        <v>12</v>
      </c>
      <c r="P87" s="85">
        <f>125-39</f>
        <v>86</v>
      </c>
      <c r="Q87" s="88">
        <f>136-39</f>
        <v>97</v>
      </c>
      <c r="R87" s="85">
        <f t="shared" si="4"/>
        <v>101</v>
      </c>
      <c r="S87" s="88">
        <f t="shared" si="5"/>
        <v>122</v>
      </c>
    </row>
    <row r="88" spans="2:19" ht="15" customHeight="1">
      <c r="B88" s="97" t="s">
        <v>127</v>
      </c>
      <c r="C88" s="20"/>
      <c r="D88" s="20"/>
      <c r="E88" s="22">
        <v>69</v>
      </c>
      <c r="F88" s="79">
        <v>554</v>
      </c>
      <c r="G88" s="82">
        <v>1222</v>
      </c>
      <c r="H88" s="79">
        <v>243</v>
      </c>
      <c r="I88" s="71">
        <v>642</v>
      </c>
      <c r="J88" s="71">
        <v>33</v>
      </c>
      <c r="K88" s="88">
        <v>138</v>
      </c>
      <c r="L88" s="85">
        <v>32</v>
      </c>
      <c r="M88" s="71" t="s">
        <v>195</v>
      </c>
      <c r="N88" s="71">
        <v>147</v>
      </c>
      <c r="O88" s="88">
        <v>179</v>
      </c>
      <c r="P88" s="85">
        <f>1417-462-14</f>
        <v>941</v>
      </c>
      <c r="Q88" s="88">
        <f>1689-462-14</f>
        <v>1213</v>
      </c>
      <c r="R88" s="85">
        <f t="shared" si="4"/>
        <v>1396</v>
      </c>
      <c r="S88" s="88">
        <f t="shared" si="5"/>
        <v>2172</v>
      </c>
    </row>
    <row r="89" spans="2:19" ht="15" customHeight="1">
      <c r="B89" s="97" t="s">
        <v>128</v>
      </c>
      <c r="C89" s="20">
        <v>1</v>
      </c>
      <c r="D89" s="20" t="s">
        <v>75</v>
      </c>
      <c r="E89" s="21">
        <v>70</v>
      </c>
      <c r="F89" s="79">
        <v>16</v>
      </c>
      <c r="G89" s="82">
        <v>26</v>
      </c>
      <c r="H89" s="79">
        <v>5</v>
      </c>
      <c r="I89" s="71">
        <v>10</v>
      </c>
      <c r="J89" s="71"/>
      <c r="K89" s="88"/>
      <c r="L89" s="85">
        <v>2</v>
      </c>
      <c r="M89" s="71"/>
      <c r="N89" s="71">
        <v>1</v>
      </c>
      <c r="O89" s="88">
        <v>3</v>
      </c>
      <c r="P89" s="85">
        <f>54-10</f>
        <v>44</v>
      </c>
      <c r="Q89" s="88">
        <f>67-10</f>
        <v>57</v>
      </c>
      <c r="R89" s="85">
        <f t="shared" si="4"/>
        <v>52</v>
      </c>
      <c r="S89" s="88">
        <f t="shared" si="5"/>
        <v>70</v>
      </c>
    </row>
    <row r="90" spans="2:19" ht="15" customHeight="1">
      <c r="B90" s="97" t="s">
        <v>129</v>
      </c>
      <c r="C90" s="20">
        <v>1</v>
      </c>
      <c r="D90" s="20" t="s">
        <v>47</v>
      </c>
      <c r="E90" s="22">
        <v>71</v>
      </c>
      <c r="F90" s="79">
        <v>43</v>
      </c>
      <c r="G90" s="82">
        <v>112</v>
      </c>
      <c r="H90" s="79">
        <v>28</v>
      </c>
      <c r="I90" s="71">
        <v>67</v>
      </c>
      <c r="J90" s="71">
        <v>1</v>
      </c>
      <c r="K90" s="88">
        <v>8</v>
      </c>
      <c r="L90" s="85">
        <v>7</v>
      </c>
      <c r="M90" s="71">
        <v>2</v>
      </c>
      <c r="N90" s="71">
        <v>26</v>
      </c>
      <c r="O90" s="88">
        <v>36</v>
      </c>
      <c r="P90" s="85">
        <f>159-45</f>
        <v>114</v>
      </c>
      <c r="Q90" s="88">
        <f>196-45</f>
        <v>151</v>
      </c>
      <c r="R90" s="85">
        <f t="shared" si="4"/>
        <v>179</v>
      </c>
      <c r="S90" s="88">
        <f t="shared" si="5"/>
        <v>262</v>
      </c>
    </row>
    <row r="91" spans="2:19" ht="15" customHeight="1">
      <c r="B91" s="97" t="s">
        <v>130</v>
      </c>
      <c r="C91" s="20"/>
      <c r="D91" s="20"/>
      <c r="E91" s="22">
        <v>72</v>
      </c>
      <c r="F91" s="79">
        <v>69</v>
      </c>
      <c r="G91" s="82">
        <v>156</v>
      </c>
      <c r="H91" s="79">
        <v>36</v>
      </c>
      <c r="I91" s="71">
        <v>87</v>
      </c>
      <c r="J91" s="71">
        <v>5</v>
      </c>
      <c r="K91" s="88">
        <v>22</v>
      </c>
      <c r="L91" s="85">
        <v>5</v>
      </c>
      <c r="M91" s="71" t="s">
        <v>195</v>
      </c>
      <c r="N91" s="71">
        <v>44</v>
      </c>
      <c r="O91" s="88">
        <v>50</v>
      </c>
      <c r="P91" s="85">
        <f>234-63</f>
        <v>171</v>
      </c>
      <c r="Q91" s="88">
        <f>289-63</f>
        <v>226</v>
      </c>
      <c r="R91" s="85">
        <f t="shared" si="4"/>
        <v>262</v>
      </c>
      <c r="S91" s="88">
        <f t="shared" si="5"/>
        <v>385</v>
      </c>
    </row>
    <row r="92" spans="2:19" ht="15" customHeight="1">
      <c r="B92" s="97" t="s">
        <v>131</v>
      </c>
      <c r="C92" s="20">
        <v>1</v>
      </c>
      <c r="D92" s="20" t="s">
        <v>47</v>
      </c>
      <c r="E92" s="21">
        <v>73</v>
      </c>
      <c r="F92" s="79">
        <v>35</v>
      </c>
      <c r="G92" s="82">
        <v>76</v>
      </c>
      <c r="H92" s="79">
        <v>19</v>
      </c>
      <c r="I92" s="71">
        <v>41</v>
      </c>
      <c r="J92" s="71">
        <v>2</v>
      </c>
      <c r="K92" s="88">
        <v>11</v>
      </c>
      <c r="L92" s="85">
        <v>2</v>
      </c>
      <c r="M92" s="71" t="s">
        <v>195</v>
      </c>
      <c r="N92" s="71">
        <v>11</v>
      </c>
      <c r="O92" s="88">
        <v>15</v>
      </c>
      <c r="P92" s="85">
        <f>84-23</f>
        <v>61</v>
      </c>
      <c r="Q92" s="88">
        <f>99-23</f>
        <v>76</v>
      </c>
      <c r="R92" s="85">
        <f t="shared" si="4"/>
        <v>97</v>
      </c>
      <c r="S92" s="88">
        <f t="shared" si="5"/>
        <v>143</v>
      </c>
    </row>
    <row r="93" spans="2:19" ht="15" customHeight="1">
      <c r="B93" s="97" t="s">
        <v>132</v>
      </c>
      <c r="C93" s="20">
        <v>1</v>
      </c>
      <c r="D93" s="20" t="s">
        <v>52</v>
      </c>
      <c r="E93" s="22">
        <v>74</v>
      </c>
      <c r="F93" s="79">
        <v>43</v>
      </c>
      <c r="G93" s="82">
        <v>79</v>
      </c>
      <c r="H93" s="79">
        <v>13</v>
      </c>
      <c r="I93" s="71">
        <v>27</v>
      </c>
      <c r="J93" s="71"/>
      <c r="K93" s="88"/>
      <c r="L93" s="85">
        <v>41</v>
      </c>
      <c r="M93" s="71">
        <v>1</v>
      </c>
      <c r="N93" s="71">
        <v>30</v>
      </c>
      <c r="O93" s="88">
        <v>72</v>
      </c>
      <c r="P93" s="85">
        <f>229-88</f>
        <v>141</v>
      </c>
      <c r="Q93" s="88">
        <f>249-88</f>
        <v>161</v>
      </c>
      <c r="R93" s="85">
        <f t="shared" si="4"/>
        <v>226</v>
      </c>
      <c r="S93" s="88">
        <f t="shared" si="5"/>
        <v>260</v>
      </c>
    </row>
    <row r="94" spans="2:19" ht="15" customHeight="1">
      <c r="B94" s="97" t="s">
        <v>133</v>
      </c>
      <c r="C94" s="20">
        <v>1</v>
      </c>
      <c r="D94" s="20" t="s">
        <v>75</v>
      </c>
      <c r="E94" s="22">
        <v>75</v>
      </c>
      <c r="F94" s="79">
        <v>3</v>
      </c>
      <c r="G94" s="82">
        <v>5</v>
      </c>
      <c r="H94" s="79">
        <v>3</v>
      </c>
      <c r="I94" s="71">
        <v>6</v>
      </c>
      <c r="J94" s="71"/>
      <c r="K94" s="88"/>
      <c r="L94" s="85">
        <v>1</v>
      </c>
      <c r="M94" s="71"/>
      <c r="N94" s="71">
        <v>5</v>
      </c>
      <c r="O94" s="88">
        <v>6</v>
      </c>
      <c r="P94" s="85">
        <v>17</v>
      </c>
      <c r="Q94" s="88">
        <v>21</v>
      </c>
      <c r="R94" s="85">
        <f t="shared" si="4"/>
        <v>26</v>
      </c>
      <c r="S94" s="88">
        <f t="shared" si="5"/>
        <v>33</v>
      </c>
    </row>
    <row r="95" spans="2:19" ht="15" customHeight="1">
      <c r="B95" s="97" t="s">
        <v>134</v>
      </c>
      <c r="C95" s="20"/>
      <c r="D95" s="20"/>
      <c r="E95" s="21">
        <v>76</v>
      </c>
      <c r="F95" s="79">
        <v>55</v>
      </c>
      <c r="G95" s="82">
        <v>73</v>
      </c>
      <c r="H95" s="79">
        <v>15</v>
      </c>
      <c r="I95" s="71">
        <v>27</v>
      </c>
      <c r="J95" s="71"/>
      <c r="K95" s="88"/>
      <c r="L95" s="85">
        <v>6</v>
      </c>
      <c r="M95" s="71" t="s">
        <v>195</v>
      </c>
      <c r="N95" s="71">
        <v>32</v>
      </c>
      <c r="O95" s="88">
        <v>38</v>
      </c>
      <c r="P95" s="85">
        <f>246-77</f>
        <v>169</v>
      </c>
      <c r="Q95" s="88">
        <f>266-77</f>
        <v>189</v>
      </c>
      <c r="R95" s="85">
        <f t="shared" si="4"/>
        <v>222</v>
      </c>
      <c r="S95" s="88">
        <f t="shared" si="5"/>
        <v>254</v>
      </c>
    </row>
    <row r="96" spans="2:19" ht="15" customHeight="1">
      <c r="B96" s="97" t="s">
        <v>135</v>
      </c>
      <c r="C96" s="20" t="s">
        <v>63</v>
      </c>
      <c r="D96" s="20"/>
      <c r="E96" s="22">
        <v>77</v>
      </c>
      <c r="F96" s="79">
        <v>1270</v>
      </c>
      <c r="G96" s="82">
        <v>2711</v>
      </c>
      <c r="H96" s="79">
        <v>658</v>
      </c>
      <c r="I96" s="71">
        <v>1677</v>
      </c>
      <c r="J96" s="71">
        <v>28</v>
      </c>
      <c r="K96" s="88">
        <v>118</v>
      </c>
      <c r="L96" s="85">
        <v>121</v>
      </c>
      <c r="M96" s="71">
        <v>2</v>
      </c>
      <c r="N96" s="71">
        <v>387</v>
      </c>
      <c r="O96" s="88">
        <v>511</v>
      </c>
      <c r="P96" s="85">
        <f>2826-861-53</f>
        <v>1912</v>
      </c>
      <c r="Q96" s="88">
        <f>3399-861-54</f>
        <v>2484</v>
      </c>
      <c r="R96" s="85">
        <f t="shared" si="4"/>
        <v>3109</v>
      </c>
      <c r="S96" s="88">
        <f t="shared" si="5"/>
        <v>4790</v>
      </c>
    </row>
    <row r="97" spans="2:19" ht="15" customHeight="1">
      <c r="B97" s="97" t="s">
        <v>136</v>
      </c>
      <c r="C97" s="20"/>
      <c r="D97" s="20"/>
      <c r="E97" s="22">
        <v>78</v>
      </c>
      <c r="F97" s="79">
        <v>140</v>
      </c>
      <c r="G97" s="82">
        <v>313</v>
      </c>
      <c r="H97" s="79">
        <v>59</v>
      </c>
      <c r="I97" s="71">
        <v>149</v>
      </c>
      <c r="J97" s="71">
        <v>6</v>
      </c>
      <c r="K97" s="88">
        <v>24</v>
      </c>
      <c r="L97" s="85">
        <v>3</v>
      </c>
      <c r="M97" s="71">
        <v>1</v>
      </c>
      <c r="N97" s="71">
        <v>36</v>
      </c>
      <c r="O97" s="88">
        <v>41</v>
      </c>
      <c r="P97" s="85">
        <f>451-123</f>
        <v>328</v>
      </c>
      <c r="Q97" s="88">
        <f>553-123</f>
        <v>430</v>
      </c>
      <c r="R97" s="85">
        <f t="shared" si="4"/>
        <v>434</v>
      </c>
      <c r="S97" s="88">
        <f t="shared" si="5"/>
        <v>644</v>
      </c>
    </row>
    <row r="98" spans="2:19" ht="15" customHeight="1">
      <c r="B98" s="97" t="s">
        <v>137</v>
      </c>
      <c r="C98" s="20">
        <v>1</v>
      </c>
      <c r="D98" s="20" t="s">
        <v>47</v>
      </c>
      <c r="E98" s="21">
        <v>79</v>
      </c>
      <c r="F98" s="79">
        <v>21</v>
      </c>
      <c r="G98" s="82">
        <v>44</v>
      </c>
      <c r="H98" s="79">
        <v>11</v>
      </c>
      <c r="I98" s="71">
        <v>25</v>
      </c>
      <c r="J98" s="71">
        <v>1</v>
      </c>
      <c r="K98" s="88">
        <v>4</v>
      </c>
      <c r="L98" s="85">
        <v>1</v>
      </c>
      <c r="M98" s="71" t="s">
        <v>195</v>
      </c>
      <c r="N98" s="71">
        <v>7</v>
      </c>
      <c r="O98" s="88">
        <v>8</v>
      </c>
      <c r="P98" s="85">
        <f>186-66</f>
        <v>120</v>
      </c>
      <c r="Q98" s="88">
        <f>194-66</f>
        <v>128</v>
      </c>
      <c r="R98" s="85">
        <f t="shared" si="4"/>
        <v>140</v>
      </c>
      <c r="S98" s="88">
        <f t="shared" si="5"/>
        <v>165</v>
      </c>
    </row>
    <row r="99" spans="2:19" ht="15" customHeight="1">
      <c r="B99" s="97" t="s">
        <v>138</v>
      </c>
      <c r="C99" s="20" t="s">
        <v>63</v>
      </c>
      <c r="D99" s="20"/>
      <c r="E99" s="22">
        <v>80</v>
      </c>
      <c r="F99" s="79">
        <v>2747</v>
      </c>
      <c r="G99" s="82">
        <v>6412</v>
      </c>
      <c r="H99" s="79">
        <v>1332</v>
      </c>
      <c r="I99" s="71">
        <v>3642</v>
      </c>
      <c r="J99" s="71">
        <v>129</v>
      </c>
      <c r="K99" s="88">
        <v>551</v>
      </c>
      <c r="L99" s="85">
        <v>197</v>
      </c>
      <c r="M99" s="71">
        <v>2</v>
      </c>
      <c r="N99" s="71">
        <v>620</v>
      </c>
      <c r="O99" s="88">
        <v>821</v>
      </c>
      <c r="P99" s="85">
        <f>4376-1179-88</f>
        <v>3109</v>
      </c>
      <c r="Q99" s="88">
        <f>5662-1179-88</f>
        <v>4395</v>
      </c>
      <c r="R99" s="85">
        <f t="shared" si="4"/>
        <v>5391</v>
      </c>
      <c r="S99" s="88">
        <f t="shared" si="5"/>
        <v>9409</v>
      </c>
    </row>
    <row r="100" spans="2:19" ht="15" customHeight="1">
      <c r="B100" s="97" t="s">
        <v>139</v>
      </c>
      <c r="C100" s="20">
        <v>1</v>
      </c>
      <c r="D100" s="20" t="s">
        <v>52</v>
      </c>
      <c r="E100" s="22">
        <v>81</v>
      </c>
      <c r="F100" s="79">
        <v>22</v>
      </c>
      <c r="G100" s="82">
        <v>54</v>
      </c>
      <c r="H100" s="79">
        <v>9</v>
      </c>
      <c r="I100" s="71">
        <v>21</v>
      </c>
      <c r="J100" s="71">
        <v>1</v>
      </c>
      <c r="K100" s="88">
        <v>8</v>
      </c>
      <c r="L100" s="85">
        <v>1</v>
      </c>
      <c r="M100" s="71" t="s">
        <v>195</v>
      </c>
      <c r="N100" s="71">
        <v>5</v>
      </c>
      <c r="O100" s="88">
        <v>6</v>
      </c>
      <c r="P100" s="85">
        <f>119-30</f>
        <v>89</v>
      </c>
      <c r="Q100" s="88">
        <f>140-30</f>
        <v>110</v>
      </c>
      <c r="R100" s="85">
        <f t="shared" si="4"/>
        <v>105</v>
      </c>
      <c r="S100" s="88">
        <f t="shared" si="5"/>
        <v>145</v>
      </c>
    </row>
    <row r="101" spans="2:19" ht="15" customHeight="1">
      <c r="B101" s="97" t="s">
        <v>140</v>
      </c>
      <c r="C101" s="20">
        <v>1</v>
      </c>
      <c r="D101" s="20" t="s">
        <v>75</v>
      </c>
      <c r="E101" s="21">
        <v>82</v>
      </c>
      <c r="F101" s="79">
        <v>22</v>
      </c>
      <c r="G101" s="82">
        <v>32</v>
      </c>
      <c r="H101" s="79">
        <v>6</v>
      </c>
      <c r="I101" s="71">
        <v>13</v>
      </c>
      <c r="J101" s="71"/>
      <c r="K101" s="88">
        <v>2</v>
      </c>
      <c r="L101" s="85">
        <v>1</v>
      </c>
      <c r="M101" s="71"/>
      <c r="N101" s="71">
        <v>3</v>
      </c>
      <c r="O101" s="88">
        <v>4</v>
      </c>
      <c r="P101" s="85">
        <f>68-22</f>
        <v>46</v>
      </c>
      <c r="Q101" s="88">
        <f>79-22</f>
        <v>57</v>
      </c>
      <c r="R101" s="85">
        <f t="shared" si="4"/>
        <v>56</v>
      </c>
      <c r="S101" s="88">
        <f t="shared" si="5"/>
        <v>76</v>
      </c>
    </row>
    <row r="102" spans="2:19" ht="15" customHeight="1">
      <c r="B102" s="97" t="s">
        <v>141</v>
      </c>
      <c r="C102" s="20"/>
      <c r="D102" s="20"/>
      <c r="E102" s="22">
        <v>83</v>
      </c>
      <c r="F102" s="79">
        <v>1252</v>
      </c>
      <c r="G102" s="82">
        <v>2427</v>
      </c>
      <c r="H102" s="79">
        <v>545</v>
      </c>
      <c r="I102" s="71">
        <v>1367</v>
      </c>
      <c r="J102" s="71">
        <v>29</v>
      </c>
      <c r="K102" s="88">
        <v>115</v>
      </c>
      <c r="L102" s="85">
        <v>75</v>
      </c>
      <c r="M102" s="71">
        <v>2</v>
      </c>
      <c r="N102" s="71">
        <v>337</v>
      </c>
      <c r="O102" s="88">
        <v>414</v>
      </c>
      <c r="P102" s="85">
        <f>2638-777-60</f>
        <v>1801</v>
      </c>
      <c r="Q102" s="88">
        <f>3183-777-60</f>
        <v>2346</v>
      </c>
      <c r="R102" s="85">
        <f t="shared" si="4"/>
        <v>2789</v>
      </c>
      <c r="S102" s="88">
        <f t="shared" si="5"/>
        <v>4242</v>
      </c>
    </row>
    <row r="103" spans="2:19" ht="15" customHeight="1">
      <c r="B103" s="97" t="s">
        <v>142</v>
      </c>
      <c r="C103" s="20" t="s">
        <v>63</v>
      </c>
      <c r="D103" s="20"/>
      <c r="E103" s="22">
        <v>84</v>
      </c>
      <c r="F103" s="79">
        <v>575</v>
      </c>
      <c r="G103" s="82">
        <v>1211</v>
      </c>
      <c r="H103" s="79">
        <v>271</v>
      </c>
      <c r="I103" s="71">
        <v>676</v>
      </c>
      <c r="J103" s="71">
        <v>12</v>
      </c>
      <c r="K103" s="88">
        <v>64</v>
      </c>
      <c r="L103" s="85">
        <v>44</v>
      </c>
      <c r="M103" s="71">
        <v>1</v>
      </c>
      <c r="N103" s="71">
        <v>126</v>
      </c>
      <c r="O103" s="88">
        <v>171</v>
      </c>
      <c r="P103" s="85">
        <f>1689-449-6</f>
        <v>1234</v>
      </c>
      <c r="Q103" s="88">
        <f>1955-450-7</f>
        <v>1498</v>
      </c>
      <c r="R103" s="85">
        <f t="shared" si="4"/>
        <v>1688</v>
      </c>
      <c r="S103" s="88">
        <f t="shared" si="5"/>
        <v>2409</v>
      </c>
    </row>
    <row r="104" spans="2:19" ht="15" customHeight="1">
      <c r="B104" s="97" t="s">
        <v>143</v>
      </c>
      <c r="C104" s="20"/>
      <c r="D104" s="20"/>
      <c r="E104" s="21">
        <v>85</v>
      </c>
      <c r="F104" s="79">
        <v>46</v>
      </c>
      <c r="G104" s="82">
        <v>85</v>
      </c>
      <c r="H104" s="79">
        <v>23</v>
      </c>
      <c r="I104" s="71">
        <v>55</v>
      </c>
      <c r="J104" s="71"/>
      <c r="K104" s="88">
        <v>2</v>
      </c>
      <c r="L104" s="85">
        <v>6</v>
      </c>
      <c r="M104" s="71" t="s">
        <v>195</v>
      </c>
      <c r="N104" s="71">
        <v>22</v>
      </c>
      <c r="O104" s="88">
        <v>30</v>
      </c>
      <c r="P104" s="85">
        <f>195-43</f>
        <v>152</v>
      </c>
      <c r="Q104" s="88">
        <f>225-43</f>
        <v>182</v>
      </c>
      <c r="R104" s="85">
        <f t="shared" si="4"/>
        <v>205</v>
      </c>
      <c r="S104" s="88">
        <f t="shared" si="5"/>
        <v>269</v>
      </c>
    </row>
    <row r="105" spans="2:19" ht="15" customHeight="1">
      <c r="B105" s="97" t="s">
        <v>144</v>
      </c>
      <c r="C105" s="20"/>
      <c r="D105" s="20"/>
      <c r="E105" s="22">
        <v>86</v>
      </c>
      <c r="F105" s="79">
        <v>143</v>
      </c>
      <c r="G105" s="82">
        <v>296</v>
      </c>
      <c r="H105" s="79">
        <v>79</v>
      </c>
      <c r="I105" s="71">
        <v>172</v>
      </c>
      <c r="J105" s="71">
        <v>6</v>
      </c>
      <c r="K105" s="88">
        <v>27</v>
      </c>
      <c r="L105" s="85">
        <v>12</v>
      </c>
      <c r="M105" s="71" t="s">
        <v>195</v>
      </c>
      <c r="N105" s="71">
        <v>92</v>
      </c>
      <c r="O105" s="88">
        <v>105</v>
      </c>
      <c r="P105" s="85">
        <f>615-179</f>
        <v>436</v>
      </c>
      <c r="Q105" s="88">
        <f>754-179</f>
        <v>575</v>
      </c>
      <c r="R105" s="85">
        <f t="shared" si="4"/>
        <v>626</v>
      </c>
      <c r="S105" s="88">
        <f t="shared" si="5"/>
        <v>879</v>
      </c>
    </row>
    <row r="106" spans="2:19" ht="15" customHeight="1">
      <c r="B106" s="97" t="s">
        <v>145</v>
      </c>
      <c r="C106" s="20">
        <v>1</v>
      </c>
      <c r="D106" s="20" t="s">
        <v>52</v>
      </c>
      <c r="E106" s="22">
        <v>87</v>
      </c>
      <c r="F106" s="79">
        <v>10</v>
      </c>
      <c r="G106" s="82">
        <v>22</v>
      </c>
      <c r="H106" s="79">
        <v>5</v>
      </c>
      <c r="I106" s="71">
        <v>11</v>
      </c>
      <c r="J106" s="71"/>
      <c r="K106" s="88">
        <v>1</v>
      </c>
      <c r="L106" s="85">
        <v>2</v>
      </c>
      <c r="M106" s="71" t="s">
        <v>195</v>
      </c>
      <c r="N106" s="71">
        <v>3</v>
      </c>
      <c r="O106" s="88">
        <v>5</v>
      </c>
      <c r="P106" s="85">
        <v>25</v>
      </c>
      <c r="Q106" s="88">
        <v>29</v>
      </c>
      <c r="R106" s="85">
        <f t="shared" si="4"/>
        <v>35</v>
      </c>
      <c r="S106" s="88">
        <f t="shared" si="5"/>
        <v>46</v>
      </c>
    </row>
    <row r="107" spans="2:19" ht="15" customHeight="1">
      <c r="B107" s="97" t="s">
        <v>146</v>
      </c>
      <c r="C107" s="20"/>
      <c r="D107" s="20"/>
      <c r="E107" s="21">
        <v>88</v>
      </c>
      <c r="F107" s="79">
        <v>556</v>
      </c>
      <c r="G107" s="82">
        <v>1304</v>
      </c>
      <c r="H107" s="79">
        <v>316</v>
      </c>
      <c r="I107" s="71">
        <v>824</v>
      </c>
      <c r="J107" s="71">
        <v>20</v>
      </c>
      <c r="K107" s="88">
        <v>87</v>
      </c>
      <c r="L107" s="85">
        <v>31</v>
      </c>
      <c r="M107" s="71" t="s">
        <v>195</v>
      </c>
      <c r="N107" s="71">
        <v>94</v>
      </c>
      <c r="O107" s="88">
        <v>126</v>
      </c>
      <c r="P107" s="85">
        <f>1256-319</f>
        <v>937</v>
      </c>
      <c r="Q107" s="88">
        <f>1595-319</f>
        <v>1276</v>
      </c>
      <c r="R107" s="85">
        <f t="shared" si="4"/>
        <v>1399</v>
      </c>
      <c r="S107" s="88">
        <f t="shared" si="5"/>
        <v>2313</v>
      </c>
    </row>
    <row r="108" spans="2:19" ht="15" customHeight="1">
      <c r="B108" s="97" t="s">
        <v>147</v>
      </c>
      <c r="C108" s="20" t="s">
        <v>63</v>
      </c>
      <c r="D108" s="20"/>
      <c r="E108" s="22">
        <v>89</v>
      </c>
      <c r="F108" s="79">
        <v>4433</v>
      </c>
      <c r="G108" s="82">
        <v>10317</v>
      </c>
      <c r="H108" s="79">
        <v>2287</v>
      </c>
      <c r="I108" s="71">
        <v>6340</v>
      </c>
      <c r="J108" s="71">
        <v>140</v>
      </c>
      <c r="K108" s="88">
        <v>600</v>
      </c>
      <c r="L108" s="85">
        <v>298</v>
      </c>
      <c r="M108" s="71">
        <v>7</v>
      </c>
      <c r="N108" s="71">
        <v>760</v>
      </c>
      <c r="O108" s="88">
        <v>1065</v>
      </c>
      <c r="P108" s="85">
        <f>5912-1589-135</f>
        <v>4188</v>
      </c>
      <c r="Q108" s="88">
        <f>7733-1589-137</f>
        <v>6007</v>
      </c>
      <c r="R108" s="85">
        <f t="shared" si="4"/>
        <v>7680</v>
      </c>
      <c r="S108" s="88">
        <f t="shared" si="5"/>
        <v>14012</v>
      </c>
    </row>
    <row r="109" spans="2:19" ht="15" customHeight="1">
      <c r="B109" s="97" t="s">
        <v>148</v>
      </c>
      <c r="C109" s="20"/>
      <c r="D109" s="20"/>
      <c r="E109" s="22">
        <v>90</v>
      </c>
      <c r="F109" s="79">
        <v>30</v>
      </c>
      <c r="G109" s="82">
        <v>47</v>
      </c>
      <c r="H109" s="79">
        <v>8</v>
      </c>
      <c r="I109" s="71">
        <v>22</v>
      </c>
      <c r="J109" s="71"/>
      <c r="K109" s="88"/>
      <c r="L109" s="85">
        <v>3</v>
      </c>
      <c r="M109" s="71" t="s">
        <v>195</v>
      </c>
      <c r="N109" s="71">
        <v>10</v>
      </c>
      <c r="O109" s="88">
        <v>13</v>
      </c>
      <c r="P109" s="85">
        <f>166-57</f>
        <v>109</v>
      </c>
      <c r="Q109" s="88">
        <f>178-57</f>
        <v>121</v>
      </c>
      <c r="R109" s="85">
        <f t="shared" si="4"/>
        <v>130</v>
      </c>
      <c r="S109" s="88">
        <f t="shared" si="5"/>
        <v>156</v>
      </c>
    </row>
    <row r="110" spans="2:19" ht="15" customHeight="1">
      <c r="B110" s="97" t="s">
        <v>149</v>
      </c>
      <c r="C110" s="20"/>
      <c r="D110" s="20"/>
      <c r="E110" s="21">
        <v>91</v>
      </c>
      <c r="F110" s="79">
        <v>30</v>
      </c>
      <c r="G110" s="82">
        <v>80</v>
      </c>
      <c r="H110" s="79">
        <v>23</v>
      </c>
      <c r="I110" s="71">
        <v>53</v>
      </c>
      <c r="J110" s="71">
        <v>3</v>
      </c>
      <c r="K110" s="88">
        <v>19</v>
      </c>
      <c r="L110" s="85">
        <v>1</v>
      </c>
      <c r="M110" s="71" t="s">
        <v>195</v>
      </c>
      <c r="N110" s="71">
        <v>10</v>
      </c>
      <c r="O110" s="88">
        <v>11</v>
      </c>
      <c r="P110" s="85">
        <f>170-39</f>
        <v>131</v>
      </c>
      <c r="Q110" s="88">
        <f>197-39</f>
        <v>158</v>
      </c>
      <c r="R110" s="85">
        <f t="shared" si="4"/>
        <v>168</v>
      </c>
      <c r="S110" s="88">
        <f t="shared" si="5"/>
        <v>241</v>
      </c>
    </row>
    <row r="111" spans="2:19" ht="15" customHeight="1">
      <c r="B111" s="97" t="s">
        <v>150</v>
      </c>
      <c r="C111" s="20">
        <v>1</v>
      </c>
      <c r="D111" s="20" t="s">
        <v>52</v>
      </c>
      <c r="E111" s="22">
        <v>92</v>
      </c>
      <c r="F111" s="79">
        <v>24</v>
      </c>
      <c r="G111" s="82">
        <v>45</v>
      </c>
      <c r="H111" s="79">
        <v>11</v>
      </c>
      <c r="I111" s="71">
        <v>26</v>
      </c>
      <c r="J111" s="71"/>
      <c r="K111" s="88"/>
      <c r="L111" s="85">
        <v>1</v>
      </c>
      <c r="M111" s="71" t="s">
        <v>195</v>
      </c>
      <c r="N111" s="71">
        <v>13</v>
      </c>
      <c r="O111" s="88">
        <v>15</v>
      </c>
      <c r="P111" s="85">
        <v>62</v>
      </c>
      <c r="Q111" s="88">
        <v>73</v>
      </c>
      <c r="R111" s="85">
        <f t="shared" si="4"/>
        <v>88</v>
      </c>
      <c r="S111" s="88">
        <f t="shared" si="5"/>
        <v>114</v>
      </c>
    </row>
    <row r="112" spans="2:19" ht="15" customHeight="1">
      <c r="B112" s="97" t="s">
        <v>151</v>
      </c>
      <c r="C112" s="20" t="s">
        <v>63</v>
      </c>
      <c r="D112" s="20"/>
      <c r="E112" s="22">
        <v>93</v>
      </c>
      <c r="F112" s="79">
        <v>11899</v>
      </c>
      <c r="G112" s="82">
        <v>25828</v>
      </c>
      <c r="H112" s="79">
        <v>6025</v>
      </c>
      <c r="I112" s="71">
        <v>16496</v>
      </c>
      <c r="J112" s="71">
        <v>162</v>
      </c>
      <c r="K112" s="88">
        <v>723</v>
      </c>
      <c r="L112" s="85">
        <v>701</v>
      </c>
      <c r="M112" s="71">
        <v>5</v>
      </c>
      <c r="N112" s="71">
        <v>1813</v>
      </c>
      <c r="O112" s="88">
        <v>2520</v>
      </c>
      <c r="P112" s="85">
        <f>12082-2832-348</f>
        <v>8902</v>
      </c>
      <c r="Q112" s="88">
        <f>14404-2834-348</f>
        <v>11222</v>
      </c>
      <c r="R112" s="85">
        <f t="shared" si="4"/>
        <v>17609</v>
      </c>
      <c r="S112" s="88">
        <f t="shared" si="5"/>
        <v>30961</v>
      </c>
    </row>
    <row r="113" spans="2:19" ht="15" customHeight="1">
      <c r="B113" s="97" t="s">
        <v>152</v>
      </c>
      <c r="C113" s="20"/>
      <c r="D113" s="20"/>
      <c r="E113" s="22">
        <v>95</v>
      </c>
      <c r="F113" s="79">
        <v>1503</v>
      </c>
      <c r="G113" s="82">
        <v>3303</v>
      </c>
      <c r="H113" s="79">
        <v>718</v>
      </c>
      <c r="I113" s="71">
        <v>1937</v>
      </c>
      <c r="J113" s="71">
        <v>49</v>
      </c>
      <c r="K113" s="88">
        <v>197</v>
      </c>
      <c r="L113" s="85">
        <v>110</v>
      </c>
      <c r="M113" s="71">
        <v>2</v>
      </c>
      <c r="N113" s="71">
        <v>358</v>
      </c>
      <c r="O113" s="88">
        <v>470</v>
      </c>
      <c r="P113" s="85">
        <f>2524-722-18</f>
        <v>1784</v>
      </c>
      <c r="Q113" s="88">
        <f>3148-722-18</f>
        <v>2408</v>
      </c>
      <c r="R113" s="85">
        <f t="shared" si="4"/>
        <v>3021</v>
      </c>
      <c r="S113" s="88">
        <f t="shared" si="5"/>
        <v>5012</v>
      </c>
    </row>
    <row r="114" spans="2:19" ht="15" customHeight="1">
      <c r="B114" s="97" t="s">
        <v>153</v>
      </c>
      <c r="C114" s="20"/>
      <c r="D114" s="20"/>
      <c r="E114" s="22">
        <v>96</v>
      </c>
      <c r="F114" s="79">
        <v>245</v>
      </c>
      <c r="G114" s="82">
        <v>518</v>
      </c>
      <c r="H114" s="79">
        <v>127</v>
      </c>
      <c r="I114" s="71">
        <v>303</v>
      </c>
      <c r="J114" s="71">
        <v>7</v>
      </c>
      <c r="K114" s="88">
        <v>32</v>
      </c>
      <c r="L114" s="85">
        <v>33</v>
      </c>
      <c r="M114" s="71">
        <v>1</v>
      </c>
      <c r="N114" s="71">
        <v>81</v>
      </c>
      <c r="O114" s="88">
        <v>115</v>
      </c>
      <c r="P114" s="85">
        <f>944-281-10</f>
        <v>653</v>
      </c>
      <c r="Q114" s="88">
        <f>1117-281-10</f>
        <v>826</v>
      </c>
      <c r="R114" s="85">
        <f t="shared" si="4"/>
        <v>902</v>
      </c>
      <c r="S114" s="88">
        <f t="shared" si="5"/>
        <v>1276</v>
      </c>
    </row>
    <row r="115" spans="2:19" ht="15" customHeight="1">
      <c r="B115" s="97" t="s">
        <v>154</v>
      </c>
      <c r="C115" s="20"/>
      <c r="D115" s="20"/>
      <c r="E115" s="21">
        <v>94</v>
      </c>
      <c r="F115" s="79">
        <v>210</v>
      </c>
      <c r="G115" s="82">
        <v>406</v>
      </c>
      <c r="H115" s="79">
        <v>94</v>
      </c>
      <c r="I115" s="71">
        <v>218</v>
      </c>
      <c r="J115" s="71">
        <v>6</v>
      </c>
      <c r="K115" s="88">
        <v>28</v>
      </c>
      <c r="L115" s="85">
        <v>33</v>
      </c>
      <c r="M115" s="71">
        <v>2</v>
      </c>
      <c r="N115" s="71">
        <v>57</v>
      </c>
      <c r="O115" s="88">
        <v>93</v>
      </c>
      <c r="P115" s="85">
        <f>964-294-11</f>
        <v>659</v>
      </c>
      <c r="Q115" s="88">
        <f>1055-294-11</f>
        <v>750</v>
      </c>
      <c r="R115" s="85">
        <f t="shared" si="4"/>
        <v>852</v>
      </c>
      <c r="S115" s="88">
        <f t="shared" si="5"/>
        <v>1089</v>
      </c>
    </row>
    <row r="116" spans="2:19" ht="15" customHeight="1">
      <c r="B116" s="97" t="s">
        <v>155</v>
      </c>
      <c r="C116" s="20"/>
      <c r="D116" s="20"/>
      <c r="E116" s="21">
        <v>97</v>
      </c>
      <c r="F116" s="79">
        <v>120</v>
      </c>
      <c r="G116" s="82">
        <v>189</v>
      </c>
      <c r="H116" s="79">
        <v>34</v>
      </c>
      <c r="I116" s="71">
        <v>84</v>
      </c>
      <c r="J116" s="71">
        <v>1</v>
      </c>
      <c r="K116" s="88">
        <v>6</v>
      </c>
      <c r="L116" s="85">
        <v>4</v>
      </c>
      <c r="M116" s="71" t="s">
        <v>195</v>
      </c>
      <c r="N116" s="71">
        <v>24</v>
      </c>
      <c r="O116" s="88">
        <v>28</v>
      </c>
      <c r="P116" s="85">
        <f>473-125-7</f>
        <v>341</v>
      </c>
      <c r="Q116" s="88">
        <f>520-125-7</f>
        <v>388</v>
      </c>
      <c r="R116" s="85">
        <f aca="true" t="shared" si="6" ref="R116:R147">SUM(H116,J116,O116,P116)</f>
        <v>404</v>
      </c>
      <c r="S116" s="88">
        <f aca="true" t="shared" si="7" ref="S116:S147">SUM(I116,K116,O116,Q116)</f>
        <v>506</v>
      </c>
    </row>
    <row r="117" spans="2:19" ht="15" customHeight="1">
      <c r="B117" s="97" t="s">
        <v>156</v>
      </c>
      <c r="C117" s="20">
        <v>1</v>
      </c>
      <c r="D117" s="20" t="s">
        <v>52</v>
      </c>
      <c r="E117" s="22">
        <v>98</v>
      </c>
      <c r="F117" s="79">
        <v>8</v>
      </c>
      <c r="G117" s="82">
        <v>23</v>
      </c>
      <c r="H117" s="79">
        <v>8</v>
      </c>
      <c r="I117" s="71">
        <v>18</v>
      </c>
      <c r="J117" s="71">
        <v>1</v>
      </c>
      <c r="K117" s="88">
        <v>4</v>
      </c>
      <c r="L117" s="85" t="s">
        <v>195</v>
      </c>
      <c r="M117" s="71" t="s">
        <v>195</v>
      </c>
      <c r="N117" s="71">
        <v>7</v>
      </c>
      <c r="O117" s="88">
        <v>7</v>
      </c>
      <c r="P117" s="85">
        <v>85</v>
      </c>
      <c r="Q117" s="88">
        <v>155</v>
      </c>
      <c r="R117" s="85">
        <f t="shared" si="6"/>
        <v>101</v>
      </c>
      <c r="S117" s="88">
        <f t="shared" si="7"/>
        <v>184</v>
      </c>
    </row>
    <row r="118" spans="2:19" ht="15" customHeight="1">
      <c r="B118" s="97" t="s">
        <v>157</v>
      </c>
      <c r="C118" s="20"/>
      <c r="D118" s="20"/>
      <c r="E118" s="22">
        <v>99</v>
      </c>
      <c r="F118" s="79">
        <v>71</v>
      </c>
      <c r="G118" s="82">
        <v>135</v>
      </c>
      <c r="H118" s="79">
        <v>37</v>
      </c>
      <c r="I118" s="71">
        <v>81</v>
      </c>
      <c r="J118" s="71">
        <v>1</v>
      </c>
      <c r="K118" s="88">
        <v>4</v>
      </c>
      <c r="L118" s="85">
        <v>5</v>
      </c>
      <c r="M118" s="71" t="s">
        <v>195</v>
      </c>
      <c r="N118" s="71">
        <v>19</v>
      </c>
      <c r="O118" s="88">
        <v>25</v>
      </c>
      <c r="P118" s="85">
        <f>218-37</f>
        <v>181</v>
      </c>
      <c r="Q118" s="88">
        <f>261-37</f>
        <v>224</v>
      </c>
      <c r="R118" s="85">
        <f t="shared" si="6"/>
        <v>244</v>
      </c>
      <c r="S118" s="88">
        <f t="shared" si="7"/>
        <v>334</v>
      </c>
    </row>
    <row r="119" spans="2:19" ht="15" customHeight="1">
      <c r="B119" s="97" t="s">
        <v>158</v>
      </c>
      <c r="C119" s="20">
        <v>1</v>
      </c>
      <c r="D119" s="20" t="s">
        <v>52</v>
      </c>
      <c r="E119" s="21">
        <v>100</v>
      </c>
      <c r="F119" s="79">
        <v>33</v>
      </c>
      <c r="G119" s="82">
        <v>72</v>
      </c>
      <c r="H119" s="79">
        <v>16</v>
      </c>
      <c r="I119" s="71">
        <v>35</v>
      </c>
      <c r="J119" s="71">
        <v>1</v>
      </c>
      <c r="K119" s="88">
        <v>5</v>
      </c>
      <c r="L119" s="85">
        <v>4</v>
      </c>
      <c r="M119" s="71" t="s">
        <v>195</v>
      </c>
      <c r="N119" s="71">
        <v>18</v>
      </c>
      <c r="O119" s="88">
        <v>23</v>
      </c>
      <c r="P119" s="85">
        <v>137</v>
      </c>
      <c r="Q119" s="88">
        <v>174</v>
      </c>
      <c r="R119" s="85">
        <f t="shared" si="6"/>
        <v>177</v>
      </c>
      <c r="S119" s="88">
        <f t="shared" si="7"/>
        <v>237</v>
      </c>
    </row>
    <row r="120" spans="2:19" ht="15" customHeight="1">
      <c r="B120" s="97" t="s">
        <v>159</v>
      </c>
      <c r="C120" s="20"/>
      <c r="D120" s="20"/>
      <c r="E120" s="22">
        <v>101</v>
      </c>
      <c r="F120" s="79">
        <v>124</v>
      </c>
      <c r="G120" s="82">
        <v>240</v>
      </c>
      <c r="H120" s="79">
        <v>65</v>
      </c>
      <c r="I120" s="71">
        <v>133</v>
      </c>
      <c r="J120" s="71">
        <v>3</v>
      </c>
      <c r="K120" s="88">
        <v>11</v>
      </c>
      <c r="L120" s="85">
        <v>18</v>
      </c>
      <c r="M120" s="71" t="s">
        <v>195</v>
      </c>
      <c r="N120" s="71">
        <v>59</v>
      </c>
      <c r="O120" s="88">
        <v>77</v>
      </c>
      <c r="P120" s="85">
        <f>617-190</f>
        <v>427</v>
      </c>
      <c r="Q120" s="88">
        <f>670-190</f>
        <v>480</v>
      </c>
      <c r="R120" s="85">
        <f t="shared" si="6"/>
        <v>572</v>
      </c>
      <c r="S120" s="88">
        <f t="shared" si="7"/>
        <v>701</v>
      </c>
    </row>
    <row r="121" spans="2:19" ht="15" customHeight="1">
      <c r="B121" s="97" t="s">
        <v>160</v>
      </c>
      <c r="C121" s="20">
        <v>1</v>
      </c>
      <c r="D121" s="20" t="s">
        <v>47</v>
      </c>
      <c r="E121" s="22">
        <v>102</v>
      </c>
      <c r="F121" s="79">
        <v>32</v>
      </c>
      <c r="G121" s="82">
        <v>59</v>
      </c>
      <c r="H121" s="79">
        <v>12</v>
      </c>
      <c r="I121" s="71">
        <v>29</v>
      </c>
      <c r="J121" s="71">
        <v>1</v>
      </c>
      <c r="K121" s="88">
        <v>5</v>
      </c>
      <c r="L121" s="85" t="s">
        <v>195</v>
      </c>
      <c r="M121" s="71">
        <v>1</v>
      </c>
      <c r="N121" s="71">
        <v>10</v>
      </c>
      <c r="O121" s="88">
        <v>12</v>
      </c>
      <c r="P121" s="85">
        <f>85-16</f>
        <v>69</v>
      </c>
      <c r="Q121" s="88">
        <f>112-16</f>
        <v>96</v>
      </c>
      <c r="R121" s="85">
        <f t="shared" si="6"/>
        <v>94</v>
      </c>
      <c r="S121" s="88">
        <f t="shared" si="7"/>
        <v>142</v>
      </c>
    </row>
    <row r="122" spans="2:19" ht="15" customHeight="1">
      <c r="B122" s="97" t="s">
        <v>161</v>
      </c>
      <c r="C122" s="20" t="s">
        <v>63</v>
      </c>
      <c r="D122" s="20"/>
      <c r="E122" s="21">
        <v>103</v>
      </c>
      <c r="F122" s="79">
        <v>1959</v>
      </c>
      <c r="G122" s="82">
        <v>3720</v>
      </c>
      <c r="H122" s="79">
        <v>979</v>
      </c>
      <c r="I122" s="71">
        <v>2379</v>
      </c>
      <c r="J122" s="71">
        <v>35</v>
      </c>
      <c r="K122" s="88">
        <v>151</v>
      </c>
      <c r="L122" s="85">
        <v>171</v>
      </c>
      <c r="M122" s="71">
        <v>2</v>
      </c>
      <c r="N122" s="71">
        <v>390</v>
      </c>
      <c r="O122" s="88">
        <v>564</v>
      </c>
      <c r="P122" s="85">
        <f>3953-1247-94</f>
        <v>2612</v>
      </c>
      <c r="Q122" s="88">
        <f>4688-1347-94</f>
        <v>3247</v>
      </c>
      <c r="R122" s="85">
        <f t="shared" si="6"/>
        <v>4190</v>
      </c>
      <c r="S122" s="88">
        <f t="shared" si="7"/>
        <v>6341</v>
      </c>
    </row>
    <row r="123" spans="2:19" ht="15" customHeight="1">
      <c r="B123" s="97" t="s">
        <v>162</v>
      </c>
      <c r="C123" s="20"/>
      <c r="D123" s="20"/>
      <c r="E123" s="22">
        <v>104</v>
      </c>
      <c r="F123" s="79">
        <v>1484</v>
      </c>
      <c r="G123" s="82">
        <v>3029</v>
      </c>
      <c r="H123" s="79">
        <v>602</v>
      </c>
      <c r="I123" s="71">
        <v>1536</v>
      </c>
      <c r="J123" s="71">
        <v>62</v>
      </c>
      <c r="K123" s="88">
        <v>254</v>
      </c>
      <c r="L123" s="85">
        <v>119</v>
      </c>
      <c r="M123" s="71">
        <v>1</v>
      </c>
      <c r="N123" s="71">
        <v>418</v>
      </c>
      <c r="O123" s="88">
        <v>539</v>
      </c>
      <c r="P123" s="85">
        <f>2999-925-30</f>
        <v>2044</v>
      </c>
      <c r="Q123" s="88">
        <f>3742-925-30</f>
        <v>2787</v>
      </c>
      <c r="R123" s="85">
        <f t="shared" si="6"/>
        <v>3247</v>
      </c>
      <c r="S123" s="88">
        <f t="shared" si="7"/>
        <v>5116</v>
      </c>
    </row>
    <row r="124" spans="2:19" ht="15" customHeight="1">
      <c r="B124" s="97" t="s">
        <v>163</v>
      </c>
      <c r="C124" s="20"/>
      <c r="D124" s="20"/>
      <c r="E124" s="22">
        <v>105</v>
      </c>
      <c r="F124" s="79">
        <v>28</v>
      </c>
      <c r="G124" s="82">
        <v>55</v>
      </c>
      <c r="H124" s="79">
        <v>12</v>
      </c>
      <c r="I124" s="71">
        <v>30</v>
      </c>
      <c r="J124" s="71">
        <v>1</v>
      </c>
      <c r="K124" s="88">
        <v>4</v>
      </c>
      <c r="L124" s="85">
        <v>4</v>
      </c>
      <c r="M124" s="71">
        <v>1</v>
      </c>
      <c r="N124" s="71">
        <v>19</v>
      </c>
      <c r="O124" s="88">
        <v>25</v>
      </c>
      <c r="P124" s="85">
        <f>112-40</f>
        <v>72</v>
      </c>
      <c r="Q124" s="88">
        <f>136-40</f>
        <v>96</v>
      </c>
      <c r="R124" s="85">
        <f t="shared" si="6"/>
        <v>110</v>
      </c>
      <c r="S124" s="88">
        <f t="shared" si="7"/>
        <v>155</v>
      </c>
    </row>
    <row r="125" spans="2:19" ht="15" customHeight="1">
      <c r="B125" s="97" t="s">
        <v>204</v>
      </c>
      <c r="C125" s="20"/>
      <c r="D125" s="20"/>
      <c r="E125" s="21">
        <v>106</v>
      </c>
      <c r="F125" s="79">
        <v>51</v>
      </c>
      <c r="G125" s="82">
        <v>105</v>
      </c>
      <c r="H125" s="79">
        <v>26</v>
      </c>
      <c r="I125" s="71">
        <v>60</v>
      </c>
      <c r="J125" s="71">
        <v>1</v>
      </c>
      <c r="K125" s="88">
        <v>4</v>
      </c>
      <c r="L125" s="85">
        <v>5</v>
      </c>
      <c r="M125" s="71" t="s">
        <v>195</v>
      </c>
      <c r="N125" s="71">
        <v>27</v>
      </c>
      <c r="O125" s="88">
        <v>32</v>
      </c>
      <c r="P125" s="85">
        <f>414-132</f>
        <v>282</v>
      </c>
      <c r="Q125" s="88">
        <f>456-132</f>
        <v>324</v>
      </c>
      <c r="R125" s="85">
        <f t="shared" si="6"/>
        <v>341</v>
      </c>
      <c r="S125" s="88">
        <f t="shared" si="7"/>
        <v>420</v>
      </c>
    </row>
    <row r="126" spans="2:19" ht="15" customHeight="1">
      <c r="B126" s="97" t="s">
        <v>205</v>
      </c>
      <c r="C126" s="20"/>
      <c r="D126" s="20"/>
      <c r="E126" s="22">
        <v>107</v>
      </c>
      <c r="F126" s="79">
        <v>32</v>
      </c>
      <c r="G126" s="82">
        <v>52</v>
      </c>
      <c r="H126" s="79">
        <v>18</v>
      </c>
      <c r="I126" s="71">
        <v>36</v>
      </c>
      <c r="J126" s="71"/>
      <c r="K126" s="88">
        <v>1</v>
      </c>
      <c r="L126" s="85">
        <v>6</v>
      </c>
      <c r="M126" s="71" t="s">
        <v>195</v>
      </c>
      <c r="N126" s="71">
        <v>22</v>
      </c>
      <c r="O126" s="88">
        <v>28</v>
      </c>
      <c r="P126" s="85">
        <f>226-73</f>
        <v>153</v>
      </c>
      <c r="Q126" s="88">
        <f>231-73</f>
        <v>158</v>
      </c>
      <c r="R126" s="85">
        <f t="shared" si="6"/>
        <v>199</v>
      </c>
      <c r="S126" s="88">
        <f t="shared" si="7"/>
        <v>223</v>
      </c>
    </row>
    <row r="127" spans="2:19" ht="15" customHeight="1">
      <c r="B127" s="97" t="s">
        <v>206</v>
      </c>
      <c r="C127" s="20"/>
      <c r="D127" s="20"/>
      <c r="E127" s="22">
        <v>108</v>
      </c>
      <c r="F127" s="79">
        <v>36</v>
      </c>
      <c r="G127" s="82">
        <v>63</v>
      </c>
      <c r="H127" s="79">
        <v>19</v>
      </c>
      <c r="I127" s="71">
        <v>41</v>
      </c>
      <c r="J127" s="71">
        <v>1</v>
      </c>
      <c r="K127" s="88">
        <v>4</v>
      </c>
      <c r="L127" s="85">
        <v>1</v>
      </c>
      <c r="M127" s="71" t="s">
        <v>195</v>
      </c>
      <c r="N127" s="71">
        <v>18</v>
      </c>
      <c r="O127" s="88">
        <v>19</v>
      </c>
      <c r="P127" s="85">
        <f>115-26</f>
        <v>89</v>
      </c>
      <c r="Q127" s="88">
        <f>136-26</f>
        <v>110</v>
      </c>
      <c r="R127" s="85">
        <f t="shared" si="6"/>
        <v>128</v>
      </c>
      <c r="S127" s="88">
        <f t="shared" si="7"/>
        <v>174</v>
      </c>
    </row>
    <row r="128" spans="2:19" ht="15" customHeight="1">
      <c r="B128" s="97" t="s">
        <v>207</v>
      </c>
      <c r="C128" s="20">
        <v>1</v>
      </c>
      <c r="D128" s="20" t="s">
        <v>47</v>
      </c>
      <c r="E128" s="21">
        <v>109</v>
      </c>
      <c r="F128" s="79">
        <v>354</v>
      </c>
      <c r="G128" s="82">
        <v>803</v>
      </c>
      <c r="H128" s="79">
        <v>176</v>
      </c>
      <c r="I128" s="71">
        <v>432</v>
      </c>
      <c r="J128" s="71">
        <v>19</v>
      </c>
      <c r="K128" s="88">
        <v>85</v>
      </c>
      <c r="L128" s="85">
        <v>12</v>
      </c>
      <c r="M128" s="71" t="s">
        <v>195</v>
      </c>
      <c r="N128" s="71">
        <v>100</v>
      </c>
      <c r="O128" s="88">
        <v>112</v>
      </c>
      <c r="P128" s="85">
        <f>974-276-14</f>
        <v>684</v>
      </c>
      <c r="Q128" s="88">
        <f>1184-276-14</f>
        <v>894</v>
      </c>
      <c r="R128" s="85">
        <f t="shared" si="6"/>
        <v>991</v>
      </c>
      <c r="S128" s="88">
        <f t="shared" si="7"/>
        <v>1523</v>
      </c>
    </row>
    <row r="129" spans="2:19" ht="15" customHeight="1">
      <c r="B129" s="97" t="s">
        <v>208</v>
      </c>
      <c r="C129" s="20"/>
      <c r="D129" s="20"/>
      <c r="E129" s="22">
        <v>110</v>
      </c>
      <c r="F129" s="79">
        <v>228</v>
      </c>
      <c r="G129" s="82">
        <v>411</v>
      </c>
      <c r="H129" s="79">
        <v>90</v>
      </c>
      <c r="I129" s="71">
        <v>219</v>
      </c>
      <c r="J129" s="71">
        <v>5</v>
      </c>
      <c r="K129" s="88">
        <v>21</v>
      </c>
      <c r="L129" s="85">
        <v>21</v>
      </c>
      <c r="M129" s="71" t="s">
        <v>195</v>
      </c>
      <c r="N129" s="71">
        <v>79</v>
      </c>
      <c r="O129" s="88">
        <v>101</v>
      </c>
      <c r="P129" s="85">
        <f>686-208-8</f>
        <v>470</v>
      </c>
      <c r="Q129" s="88">
        <f>779-209-8</f>
        <v>562</v>
      </c>
      <c r="R129" s="85">
        <f t="shared" si="6"/>
        <v>666</v>
      </c>
      <c r="S129" s="88">
        <f t="shared" si="7"/>
        <v>903</v>
      </c>
    </row>
    <row r="130" spans="2:19" ht="15" customHeight="1">
      <c r="B130" s="97" t="s">
        <v>209</v>
      </c>
      <c r="C130" s="20">
        <v>1</v>
      </c>
      <c r="D130" s="20" t="s">
        <v>52</v>
      </c>
      <c r="E130" s="22">
        <v>111</v>
      </c>
      <c r="F130" s="79">
        <v>128</v>
      </c>
      <c r="G130" s="82">
        <v>293</v>
      </c>
      <c r="H130" s="79">
        <v>62</v>
      </c>
      <c r="I130" s="71">
        <v>145</v>
      </c>
      <c r="J130" s="71">
        <v>7</v>
      </c>
      <c r="K130" s="88">
        <v>28</v>
      </c>
      <c r="L130" s="85">
        <v>10</v>
      </c>
      <c r="M130" s="71" t="s">
        <v>195</v>
      </c>
      <c r="N130" s="71">
        <v>28</v>
      </c>
      <c r="O130" s="88">
        <v>39</v>
      </c>
      <c r="P130" s="85">
        <f>438-104</f>
        <v>334</v>
      </c>
      <c r="Q130" s="88">
        <f>547-104</f>
        <v>443</v>
      </c>
      <c r="R130" s="85">
        <f t="shared" si="6"/>
        <v>442</v>
      </c>
      <c r="S130" s="88">
        <f t="shared" si="7"/>
        <v>655</v>
      </c>
    </row>
    <row r="131" spans="2:19" ht="15" customHeight="1">
      <c r="B131" s="97" t="s">
        <v>210</v>
      </c>
      <c r="C131" s="20">
        <v>1</v>
      </c>
      <c r="D131" s="20" t="s">
        <v>47</v>
      </c>
      <c r="E131" s="21">
        <v>112</v>
      </c>
      <c r="F131" s="79">
        <v>24</v>
      </c>
      <c r="G131" s="82">
        <v>54</v>
      </c>
      <c r="H131" s="79">
        <v>15</v>
      </c>
      <c r="I131" s="71">
        <v>37</v>
      </c>
      <c r="J131" s="71">
        <v>1</v>
      </c>
      <c r="K131" s="88">
        <v>5</v>
      </c>
      <c r="L131" s="85">
        <v>9</v>
      </c>
      <c r="M131" s="71" t="s">
        <v>195</v>
      </c>
      <c r="N131" s="71">
        <v>15</v>
      </c>
      <c r="O131" s="88">
        <v>24</v>
      </c>
      <c r="P131" s="85">
        <v>53</v>
      </c>
      <c r="Q131" s="88">
        <v>67</v>
      </c>
      <c r="R131" s="85">
        <f t="shared" si="6"/>
        <v>93</v>
      </c>
      <c r="S131" s="88">
        <f t="shared" si="7"/>
        <v>133</v>
      </c>
    </row>
    <row r="132" spans="2:19" ht="15" customHeight="1">
      <c r="B132" s="97" t="s">
        <v>211</v>
      </c>
      <c r="C132" s="20"/>
      <c r="D132" s="20"/>
      <c r="E132" s="22">
        <v>113</v>
      </c>
      <c r="F132" s="79">
        <v>102</v>
      </c>
      <c r="G132" s="82">
        <v>218</v>
      </c>
      <c r="H132" s="79">
        <v>50</v>
      </c>
      <c r="I132" s="71">
        <v>126</v>
      </c>
      <c r="J132" s="71">
        <v>2</v>
      </c>
      <c r="K132" s="88">
        <v>9</v>
      </c>
      <c r="L132" s="85">
        <v>34</v>
      </c>
      <c r="M132" s="71" t="s">
        <v>195</v>
      </c>
      <c r="N132" s="71">
        <v>24</v>
      </c>
      <c r="O132" s="88">
        <v>60</v>
      </c>
      <c r="P132" s="85">
        <f>288-95</f>
        <v>193</v>
      </c>
      <c r="Q132" s="88">
        <f>342-95</f>
        <v>247</v>
      </c>
      <c r="R132" s="85">
        <f t="shared" si="6"/>
        <v>305</v>
      </c>
      <c r="S132" s="88">
        <f t="shared" si="7"/>
        <v>442</v>
      </c>
    </row>
    <row r="133" spans="2:19" ht="15" customHeight="1">
      <c r="B133" s="97" t="s">
        <v>212</v>
      </c>
      <c r="C133" s="20">
        <v>1</v>
      </c>
      <c r="D133" s="20" t="s">
        <v>47</v>
      </c>
      <c r="E133" s="22">
        <v>114</v>
      </c>
      <c r="F133" s="79">
        <v>24</v>
      </c>
      <c r="G133" s="82">
        <v>49</v>
      </c>
      <c r="H133" s="79">
        <v>8</v>
      </c>
      <c r="I133" s="71">
        <v>18</v>
      </c>
      <c r="J133" s="71">
        <v>1</v>
      </c>
      <c r="K133" s="88">
        <v>3</v>
      </c>
      <c r="L133" s="85" t="s">
        <v>195</v>
      </c>
      <c r="M133" s="71" t="s">
        <v>195</v>
      </c>
      <c r="N133" s="71">
        <v>18</v>
      </c>
      <c r="O133" s="88">
        <v>18</v>
      </c>
      <c r="P133" s="85">
        <f>111-26</f>
        <v>85</v>
      </c>
      <c r="Q133" s="88">
        <f>136-26</f>
        <v>110</v>
      </c>
      <c r="R133" s="85">
        <f t="shared" si="6"/>
        <v>112</v>
      </c>
      <c r="S133" s="88">
        <f t="shared" si="7"/>
        <v>149</v>
      </c>
    </row>
    <row r="134" spans="2:19" ht="15" customHeight="1">
      <c r="B134" s="97" t="s">
        <v>213</v>
      </c>
      <c r="C134" s="20"/>
      <c r="D134" s="20"/>
      <c r="E134" s="21">
        <v>115</v>
      </c>
      <c r="F134" s="79">
        <v>27</v>
      </c>
      <c r="G134" s="82">
        <v>61</v>
      </c>
      <c r="H134" s="79">
        <v>19</v>
      </c>
      <c r="I134" s="71">
        <v>46</v>
      </c>
      <c r="J134" s="71">
        <v>1</v>
      </c>
      <c r="K134" s="88">
        <v>6</v>
      </c>
      <c r="L134" s="85">
        <v>3</v>
      </c>
      <c r="M134" s="71" t="s">
        <v>195</v>
      </c>
      <c r="N134" s="71">
        <v>10</v>
      </c>
      <c r="O134" s="88">
        <v>13</v>
      </c>
      <c r="P134" s="85">
        <f>303-104</f>
        <v>199</v>
      </c>
      <c r="Q134" s="88">
        <f>315-104</f>
        <v>211</v>
      </c>
      <c r="R134" s="85">
        <f t="shared" si="6"/>
        <v>232</v>
      </c>
      <c r="S134" s="88">
        <f t="shared" si="7"/>
        <v>276</v>
      </c>
    </row>
    <row r="135" spans="2:19" ht="15" customHeight="1">
      <c r="B135" s="97" t="s">
        <v>214</v>
      </c>
      <c r="C135" s="20">
        <v>1</v>
      </c>
      <c r="D135" s="20" t="s">
        <v>47</v>
      </c>
      <c r="E135" s="22">
        <v>116</v>
      </c>
      <c r="F135" s="79">
        <v>328</v>
      </c>
      <c r="G135" s="82">
        <v>729</v>
      </c>
      <c r="H135" s="79">
        <v>151</v>
      </c>
      <c r="I135" s="71">
        <v>390</v>
      </c>
      <c r="J135" s="71">
        <v>16</v>
      </c>
      <c r="K135" s="88">
        <v>64</v>
      </c>
      <c r="L135" s="85">
        <v>15</v>
      </c>
      <c r="M135" s="71">
        <v>1</v>
      </c>
      <c r="N135" s="71">
        <v>73</v>
      </c>
      <c r="O135" s="88">
        <v>90</v>
      </c>
      <c r="P135" s="85">
        <f>942-349</f>
        <v>593</v>
      </c>
      <c r="Q135" s="88">
        <f>1106-349</f>
        <v>757</v>
      </c>
      <c r="R135" s="85">
        <f t="shared" si="6"/>
        <v>850</v>
      </c>
      <c r="S135" s="88">
        <f t="shared" si="7"/>
        <v>1301</v>
      </c>
    </row>
    <row r="136" spans="2:19" ht="15" customHeight="1">
      <c r="B136" s="97" t="s">
        <v>215</v>
      </c>
      <c r="C136" s="20"/>
      <c r="D136" s="20"/>
      <c r="E136" s="22">
        <v>117</v>
      </c>
      <c r="F136" s="79">
        <v>11</v>
      </c>
      <c r="G136" s="82">
        <v>18</v>
      </c>
      <c r="H136" s="79">
        <v>5</v>
      </c>
      <c r="I136" s="71">
        <v>14</v>
      </c>
      <c r="J136" s="71"/>
      <c r="K136" s="88"/>
      <c r="L136" s="85">
        <v>1</v>
      </c>
      <c r="M136" s="71" t="s">
        <v>195</v>
      </c>
      <c r="N136" s="71">
        <v>5</v>
      </c>
      <c r="O136" s="88">
        <v>6</v>
      </c>
      <c r="P136" s="85">
        <v>40</v>
      </c>
      <c r="Q136" s="88">
        <v>52</v>
      </c>
      <c r="R136" s="85">
        <f t="shared" si="6"/>
        <v>51</v>
      </c>
      <c r="S136" s="88">
        <f t="shared" si="7"/>
        <v>72</v>
      </c>
    </row>
    <row r="137" spans="2:19" ht="15" customHeight="1">
      <c r="B137" s="97" t="s">
        <v>216</v>
      </c>
      <c r="C137" s="20"/>
      <c r="D137" s="20"/>
      <c r="E137" s="21">
        <v>118</v>
      </c>
      <c r="F137" s="79">
        <v>35</v>
      </c>
      <c r="G137" s="82">
        <v>64</v>
      </c>
      <c r="H137" s="79">
        <v>12</v>
      </c>
      <c r="I137" s="71">
        <v>33</v>
      </c>
      <c r="J137" s="71"/>
      <c r="K137" s="88"/>
      <c r="L137" s="85">
        <v>8</v>
      </c>
      <c r="M137" s="71">
        <v>1</v>
      </c>
      <c r="N137" s="71">
        <v>14</v>
      </c>
      <c r="O137" s="88">
        <v>23</v>
      </c>
      <c r="P137" s="85">
        <f>301-127</f>
        <v>174</v>
      </c>
      <c r="Q137" s="88">
        <f>319-127</f>
        <v>192</v>
      </c>
      <c r="R137" s="85">
        <f t="shared" si="6"/>
        <v>209</v>
      </c>
      <c r="S137" s="88">
        <f t="shared" si="7"/>
        <v>248</v>
      </c>
    </row>
    <row r="138" spans="2:19" ht="15" customHeight="1">
      <c r="B138" s="97" t="s">
        <v>217</v>
      </c>
      <c r="C138" s="20"/>
      <c r="D138" s="20"/>
      <c r="E138" s="22">
        <v>119</v>
      </c>
      <c r="F138" s="79">
        <v>99</v>
      </c>
      <c r="G138" s="82">
        <v>176</v>
      </c>
      <c r="H138" s="79">
        <v>40</v>
      </c>
      <c r="I138" s="71">
        <v>87</v>
      </c>
      <c r="J138" s="71">
        <v>5</v>
      </c>
      <c r="K138" s="88">
        <v>21</v>
      </c>
      <c r="L138" s="85">
        <v>19</v>
      </c>
      <c r="M138" s="71" t="s">
        <v>195</v>
      </c>
      <c r="N138" s="71">
        <v>40</v>
      </c>
      <c r="O138" s="88">
        <v>59</v>
      </c>
      <c r="P138" s="85">
        <f>826-265</f>
        <v>561</v>
      </c>
      <c r="Q138" s="88">
        <f>862-265</f>
        <v>597</v>
      </c>
      <c r="R138" s="85">
        <f t="shared" si="6"/>
        <v>665</v>
      </c>
      <c r="S138" s="88">
        <f t="shared" si="7"/>
        <v>764</v>
      </c>
    </row>
    <row r="139" spans="2:19" ht="15" customHeight="1">
      <c r="B139" s="97" t="s">
        <v>218</v>
      </c>
      <c r="C139" s="20">
        <v>1</v>
      </c>
      <c r="D139" s="20" t="s">
        <v>52</v>
      </c>
      <c r="E139" s="22">
        <v>120</v>
      </c>
      <c r="F139" s="79">
        <v>3</v>
      </c>
      <c r="G139" s="82">
        <v>6</v>
      </c>
      <c r="H139" s="79">
        <v>1</v>
      </c>
      <c r="I139" s="71">
        <v>2</v>
      </c>
      <c r="J139" s="71"/>
      <c r="K139" s="88"/>
      <c r="L139" s="85">
        <v>1</v>
      </c>
      <c r="M139" s="71" t="s">
        <v>195</v>
      </c>
      <c r="N139" s="71">
        <v>7</v>
      </c>
      <c r="O139" s="88">
        <v>8</v>
      </c>
      <c r="P139" s="85">
        <v>12</v>
      </c>
      <c r="Q139" s="88">
        <v>16</v>
      </c>
      <c r="R139" s="85">
        <f t="shared" si="6"/>
        <v>21</v>
      </c>
      <c r="S139" s="88">
        <f t="shared" si="7"/>
        <v>26</v>
      </c>
    </row>
    <row r="140" spans="2:19" ht="15" customHeight="1">
      <c r="B140" s="97" t="s">
        <v>219</v>
      </c>
      <c r="C140" s="20">
        <v>1</v>
      </c>
      <c r="D140" s="20" t="s">
        <v>47</v>
      </c>
      <c r="E140" s="21">
        <v>121</v>
      </c>
      <c r="F140" s="79">
        <v>17</v>
      </c>
      <c r="G140" s="82">
        <v>40</v>
      </c>
      <c r="H140" s="79">
        <v>11</v>
      </c>
      <c r="I140" s="71">
        <v>25</v>
      </c>
      <c r="J140" s="71"/>
      <c r="K140" s="88"/>
      <c r="L140" s="85">
        <v>2</v>
      </c>
      <c r="M140" s="71" t="s">
        <v>195</v>
      </c>
      <c r="N140" s="71">
        <v>8</v>
      </c>
      <c r="O140" s="88">
        <v>11</v>
      </c>
      <c r="P140" s="85">
        <v>32</v>
      </c>
      <c r="Q140" s="88">
        <v>49</v>
      </c>
      <c r="R140" s="85">
        <f t="shared" si="6"/>
        <v>54</v>
      </c>
      <c r="S140" s="88">
        <f t="shared" si="7"/>
        <v>85</v>
      </c>
    </row>
    <row r="141" spans="2:19" ht="15" customHeight="1">
      <c r="B141" s="97" t="s">
        <v>220</v>
      </c>
      <c r="C141" s="20">
        <v>1</v>
      </c>
      <c r="D141" s="20" t="s">
        <v>52</v>
      </c>
      <c r="E141" s="22">
        <v>122</v>
      </c>
      <c r="F141" s="79">
        <v>15</v>
      </c>
      <c r="G141" s="82">
        <v>31</v>
      </c>
      <c r="H141" s="79">
        <v>7</v>
      </c>
      <c r="I141" s="71">
        <v>17</v>
      </c>
      <c r="J141" s="71"/>
      <c r="K141" s="88">
        <v>2</v>
      </c>
      <c r="L141" s="85">
        <v>11</v>
      </c>
      <c r="M141" s="71" t="s">
        <v>195</v>
      </c>
      <c r="N141" s="71">
        <v>5</v>
      </c>
      <c r="O141" s="88">
        <v>17</v>
      </c>
      <c r="P141" s="85">
        <f>148-47</f>
        <v>101</v>
      </c>
      <c r="Q141" s="88">
        <f>167-47</f>
        <v>120</v>
      </c>
      <c r="R141" s="85">
        <f t="shared" si="6"/>
        <v>125</v>
      </c>
      <c r="S141" s="88">
        <f t="shared" si="7"/>
        <v>156</v>
      </c>
    </row>
    <row r="142" spans="2:19" ht="15" customHeight="1">
      <c r="B142" s="97" t="s">
        <v>221</v>
      </c>
      <c r="C142" s="20">
        <v>1</v>
      </c>
      <c r="D142" s="20" t="s">
        <v>47</v>
      </c>
      <c r="E142" s="22">
        <v>123</v>
      </c>
      <c r="F142" s="79">
        <v>5</v>
      </c>
      <c r="G142" s="82">
        <v>13</v>
      </c>
      <c r="H142" s="79">
        <v>3</v>
      </c>
      <c r="I142" s="71">
        <v>8</v>
      </c>
      <c r="J142" s="71"/>
      <c r="K142" s="88"/>
      <c r="L142" s="85" t="s">
        <v>195</v>
      </c>
      <c r="M142" s="71" t="s">
        <v>195</v>
      </c>
      <c r="N142" s="71">
        <v>1</v>
      </c>
      <c r="O142" s="88">
        <v>1</v>
      </c>
      <c r="P142" s="85">
        <v>29</v>
      </c>
      <c r="Q142" s="88">
        <v>46</v>
      </c>
      <c r="R142" s="85">
        <f t="shared" si="6"/>
        <v>33</v>
      </c>
      <c r="S142" s="88">
        <f t="shared" si="7"/>
        <v>55</v>
      </c>
    </row>
    <row r="143" spans="2:19" ht="15" customHeight="1">
      <c r="B143" s="97" t="s">
        <v>222</v>
      </c>
      <c r="C143" s="20"/>
      <c r="D143" s="20"/>
      <c r="E143" s="21">
        <v>124</v>
      </c>
      <c r="F143" s="79">
        <v>212</v>
      </c>
      <c r="G143" s="82">
        <v>437</v>
      </c>
      <c r="H143" s="79">
        <v>101</v>
      </c>
      <c r="I143" s="71">
        <v>259</v>
      </c>
      <c r="J143" s="71">
        <v>5</v>
      </c>
      <c r="K143" s="88">
        <v>20</v>
      </c>
      <c r="L143" s="85">
        <v>6</v>
      </c>
      <c r="M143" s="71" t="s">
        <v>195</v>
      </c>
      <c r="N143" s="71">
        <v>51</v>
      </c>
      <c r="O143" s="88">
        <v>57</v>
      </c>
      <c r="P143" s="85">
        <f>463-119</f>
        <v>344</v>
      </c>
      <c r="Q143" s="88">
        <f>541-119</f>
        <v>422</v>
      </c>
      <c r="R143" s="85">
        <f t="shared" si="6"/>
        <v>507</v>
      </c>
      <c r="S143" s="88">
        <f t="shared" si="7"/>
        <v>758</v>
      </c>
    </row>
    <row r="144" spans="2:19" ht="15" customHeight="1">
      <c r="B144" s="97" t="s">
        <v>223</v>
      </c>
      <c r="C144" s="20">
        <v>1</v>
      </c>
      <c r="D144" s="20" t="s">
        <v>52</v>
      </c>
      <c r="E144" s="22">
        <v>125</v>
      </c>
      <c r="F144" s="79">
        <v>13</v>
      </c>
      <c r="G144" s="82">
        <v>32</v>
      </c>
      <c r="H144" s="79">
        <v>6</v>
      </c>
      <c r="I144" s="71">
        <v>17</v>
      </c>
      <c r="J144" s="71"/>
      <c r="K144" s="88"/>
      <c r="L144" s="85">
        <v>1</v>
      </c>
      <c r="M144" s="71" t="s">
        <v>195</v>
      </c>
      <c r="N144" s="71">
        <v>1</v>
      </c>
      <c r="O144" s="88">
        <v>3</v>
      </c>
      <c r="P144" s="85">
        <f>91-24</f>
        <v>67</v>
      </c>
      <c r="Q144" s="88">
        <f>100-24</f>
        <v>76</v>
      </c>
      <c r="R144" s="85">
        <f t="shared" si="6"/>
        <v>76</v>
      </c>
      <c r="S144" s="88">
        <f t="shared" si="7"/>
        <v>96</v>
      </c>
    </row>
    <row r="145" spans="2:19" ht="15" customHeight="1">
      <c r="B145" s="97" t="s">
        <v>224</v>
      </c>
      <c r="C145" s="20"/>
      <c r="D145" s="20"/>
      <c r="E145" s="22">
        <v>126</v>
      </c>
      <c r="F145" s="79">
        <v>261</v>
      </c>
      <c r="G145" s="82">
        <v>527</v>
      </c>
      <c r="H145" s="79">
        <v>130</v>
      </c>
      <c r="I145" s="71">
        <v>318</v>
      </c>
      <c r="J145" s="71">
        <v>4</v>
      </c>
      <c r="K145" s="88">
        <v>16</v>
      </c>
      <c r="L145" s="85">
        <v>52</v>
      </c>
      <c r="M145" s="71" t="s">
        <v>195</v>
      </c>
      <c r="N145" s="71">
        <v>83</v>
      </c>
      <c r="O145" s="88">
        <v>135</v>
      </c>
      <c r="P145" s="85">
        <f>1194-335</f>
        <v>859</v>
      </c>
      <c r="Q145" s="88">
        <f>1315-335</f>
        <v>980</v>
      </c>
      <c r="R145" s="85">
        <f t="shared" si="6"/>
        <v>1128</v>
      </c>
      <c r="S145" s="88">
        <f t="shared" si="7"/>
        <v>1449</v>
      </c>
    </row>
    <row r="146" spans="2:19" ht="15" customHeight="1">
      <c r="B146" s="97" t="s">
        <v>225</v>
      </c>
      <c r="C146" s="20">
        <v>1</v>
      </c>
      <c r="D146" s="20" t="s">
        <v>52</v>
      </c>
      <c r="E146" s="21">
        <v>127</v>
      </c>
      <c r="F146" s="79">
        <v>7</v>
      </c>
      <c r="G146" s="82">
        <v>9</v>
      </c>
      <c r="H146" s="79">
        <v>5</v>
      </c>
      <c r="I146" s="71">
        <v>12</v>
      </c>
      <c r="J146" s="71"/>
      <c r="K146" s="88"/>
      <c r="L146" s="85" t="s">
        <v>195</v>
      </c>
      <c r="M146" s="71" t="s">
        <v>195</v>
      </c>
      <c r="N146" s="71">
        <v>3</v>
      </c>
      <c r="O146" s="88">
        <v>4</v>
      </c>
      <c r="P146" s="85">
        <v>18</v>
      </c>
      <c r="Q146" s="88">
        <v>19</v>
      </c>
      <c r="R146" s="85">
        <f t="shared" si="6"/>
        <v>27</v>
      </c>
      <c r="S146" s="88">
        <f t="shared" si="7"/>
        <v>35</v>
      </c>
    </row>
    <row r="147" spans="2:19" ht="15" customHeight="1">
      <c r="B147" s="97" t="s">
        <v>226</v>
      </c>
      <c r="C147" s="20"/>
      <c r="D147" s="20"/>
      <c r="E147" s="22">
        <v>128</v>
      </c>
      <c r="F147" s="79">
        <v>41</v>
      </c>
      <c r="G147" s="82">
        <v>79</v>
      </c>
      <c r="H147" s="79">
        <v>19</v>
      </c>
      <c r="I147" s="71">
        <v>45</v>
      </c>
      <c r="J147" s="71"/>
      <c r="K147" s="88"/>
      <c r="L147" s="85">
        <v>16</v>
      </c>
      <c r="M147" s="71" t="s">
        <v>195</v>
      </c>
      <c r="N147" s="71">
        <v>22</v>
      </c>
      <c r="O147" s="88">
        <v>38</v>
      </c>
      <c r="P147" s="85">
        <f>365-109-3</f>
        <v>253</v>
      </c>
      <c r="Q147" s="88">
        <f>396-109-3</f>
        <v>284</v>
      </c>
      <c r="R147" s="85">
        <f t="shared" si="6"/>
        <v>310</v>
      </c>
      <c r="S147" s="88">
        <f t="shared" si="7"/>
        <v>367</v>
      </c>
    </row>
    <row r="148" spans="2:19" ht="15" customHeight="1">
      <c r="B148" s="97" t="s">
        <v>227</v>
      </c>
      <c r="C148" s="20"/>
      <c r="D148" s="20"/>
      <c r="E148" s="22">
        <v>129</v>
      </c>
      <c r="F148" s="79">
        <v>41</v>
      </c>
      <c r="G148" s="82">
        <v>93</v>
      </c>
      <c r="H148" s="79">
        <v>21</v>
      </c>
      <c r="I148" s="71">
        <v>53</v>
      </c>
      <c r="J148" s="71">
        <v>1</v>
      </c>
      <c r="K148" s="88">
        <v>5</v>
      </c>
      <c r="L148" s="85">
        <v>7</v>
      </c>
      <c r="M148" s="71">
        <v>1</v>
      </c>
      <c r="N148" s="71">
        <v>12</v>
      </c>
      <c r="O148" s="88">
        <v>20</v>
      </c>
      <c r="P148" s="85">
        <f>124-34</f>
        <v>90</v>
      </c>
      <c r="Q148" s="88">
        <f>155-34</f>
        <v>121</v>
      </c>
      <c r="R148" s="85">
        <f aca="true" t="shared" si="8" ref="R148:R179">SUM(H148,J148,O148,P148)</f>
        <v>132</v>
      </c>
      <c r="S148" s="88">
        <f aca="true" t="shared" si="9" ref="S148:S179">SUM(I148,K148,O148,Q148)</f>
        <v>199</v>
      </c>
    </row>
    <row r="149" spans="2:19" ht="15" customHeight="1">
      <c r="B149" s="97" t="s">
        <v>228</v>
      </c>
      <c r="C149" s="20"/>
      <c r="D149" s="20"/>
      <c r="E149" s="22">
        <v>132</v>
      </c>
      <c r="F149" s="79">
        <v>89</v>
      </c>
      <c r="G149" s="82">
        <v>159</v>
      </c>
      <c r="H149" s="79">
        <v>46</v>
      </c>
      <c r="I149" s="71">
        <v>104</v>
      </c>
      <c r="J149" s="71">
        <v>2</v>
      </c>
      <c r="K149" s="88">
        <v>10</v>
      </c>
      <c r="L149" s="85">
        <v>17</v>
      </c>
      <c r="M149" s="71">
        <v>1</v>
      </c>
      <c r="N149" s="71">
        <v>34</v>
      </c>
      <c r="O149" s="88">
        <v>52</v>
      </c>
      <c r="P149" s="85">
        <f>376-117</f>
        <v>259</v>
      </c>
      <c r="Q149" s="88">
        <f>427-117</f>
        <v>310</v>
      </c>
      <c r="R149" s="85">
        <f t="shared" si="8"/>
        <v>359</v>
      </c>
      <c r="S149" s="88">
        <f t="shared" si="9"/>
        <v>476</v>
      </c>
    </row>
    <row r="150" spans="2:19" ht="15" customHeight="1">
      <c r="B150" s="97" t="s">
        <v>229</v>
      </c>
      <c r="C150" s="20"/>
      <c r="D150" s="20"/>
      <c r="E150" s="21">
        <v>130</v>
      </c>
      <c r="F150" s="79">
        <v>29</v>
      </c>
      <c r="G150" s="82">
        <v>63</v>
      </c>
      <c r="H150" s="79">
        <v>17</v>
      </c>
      <c r="I150" s="71">
        <v>37</v>
      </c>
      <c r="J150" s="71">
        <v>2</v>
      </c>
      <c r="K150" s="88">
        <v>8</v>
      </c>
      <c r="L150" s="85">
        <v>16</v>
      </c>
      <c r="M150" s="71">
        <v>1</v>
      </c>
      <c r="N150" s="71">
        <v>27</v>
      </c>
      <c r="O150" s="88">
        <v>44</v>
      </c>
      <c r="P150" s="85">
        <f>1174-486</f>
        <v>688</v>
      </c>
      <c r="Q150" s="88">
        <f>1191-486</f>
        <v>705</v>
      </c>
      <c r="R150" s="85">
        <f t="shared" si="8"/>
        <v>751</v>
      </c>
      <c r="S150" s="88">
        <f t="shared" si="9"/>
        <v>794</v>
      </c>
    </row>
    <row r="151" spans="2:19" ht="15" customHeight="1">
      <c r="B151" s="97" t="s">
        <v>230</v>
      </c>
      <c r="C151" s="20"/>
      <c r="D151" s="20"/>
      <c r="E151" s="22">
        <v>131</v>
      </c>
      <c r="F151" s="79">
        <v>340</v>
      </c>
      <c r="G151" s="82">
        <v>670</v>
      </c>
      <c r="H151" s="79">
        <v>163</v>
      </c>
      <c r="I151" s="71">
        <v>403</v>
      </c>
      <c r="J151" s="71">
        <v>8</v>
      </c>
      <c r="K151" s="88">
        <v>34</v>
      </c>
      <c r="L151" s="85">
        <v>27</v>
      </c>
      <c r="M151" s="71">
        <v>2</v>
      </c>
      <c r="N151" s="71">
        <v>79</v>
      </c>
      <c r="O151" s="88">
        <v>109</v>
      </c>
      <c r="P151" s="85">
        <f>1195-388-11</f>
        <v>796</v>
      </c>
      <c r="Q151" s="88">
        <f>1380-388-11</f>
        <v>981</v>
      </c>
      <c r="R151" s="85">
        <f t="shared" si="8"/>
        <v>1076</v>
      </c>
      <c r="S151" s="88">
        <f t="shared" si="9"/>
        <v>1527</v>
      </c>
    </row>
    <row r="152" spans="2:19" ht="15" customHeight="1">
      <c r="B152" s="97" t="s">
        <v>231</v>
      </c>
      <c r="C152" s="20">
        <v>1</v>
      </c>
      <c r="D152" s="20" t="s">
        <v>47</v>
      </c>
      <c r="E152" s="21">
        <v>133</v>
      </c>
      <c r="F152" s="79">
        <v>44</v>
      </c>
      <c r="G152" s="82">
        <v>98</v>
      </c>
      <c r="H152" s="79">
        <v>22</v>
      </c>
      <c r="I152" s="71">
        <v>52</v>
      </c>
      <c r="J152" s="71">
        <v>1</v>
      </c>
      <c r="K152" s="88">
        <v>7</v>
      </c>
      <c r="L152" s="85">
        <v>5</v>
      </c>
      <c r="M152" s="71" t="s">
        <v>195</v>
      </c>
      <c r="N152" s="71">
        <v>13</v>
      </c>
      <c r="O152" s="88">
        <v>18</v>
      </c>
      <c r="P152" s="85">
        <f>153-39</f>
        <v>114</v>
      </c>
      <c r="Q152" s="88">
        <f>197-39</f>
        <v>158</v>
      </c>
      <c r="R152" s="85">
        <f t="shared" si="8"/>
        <v>155</v>
      </c>
      <c r="S152" s="88">
        <f t="shared" si="9"/>
        <v>235</v>
      </c>
    </row>
    <row r="153" spans="2:19" ht="15" customHeight="1">
      <c r="B153" s="97" t="s">
        <v>232</v>
      </c>
      <c r="C153" s="20"/>
      <c r="D153" s="20"/>
      <c r="E153" s="22">
        <v>134</v>
      </c>
      <c r="F153" s="79">
        <v>171</v>
      </c>
      <c r="G153" s="82">
        <v>374</v>
      </c>
      <c r="H153" s="79">
        <v>90</v>
      </c>
      <c r="I153" s="71">
        <v>217</v>
      </c>
      <c r="J153" s="71">
        <v>8</v>
      </c>
      <c r="K153" s="88">
        <v>38</v>
      </c>
      <c r="L153" s="85">
        <v>7</v>
      </c>
      <c r="M153" s="71" t="s">
        <v>195</v>
      </c>
      <c r="N153" s="71">
        <v>35</v>
      </c>
      <c r="O153" s="88">
        <v>42</v>
      </c>
      <c r="P153" s="85">
        <f>500-134</f>
        <v>366</v>
      </c>
      <c r="Q153" s="88">
        <f>616-134</f>
        <v>482</v>
      </c>
      <c r="R153" s="85">
        <f t="shared" si="8"/>
        <v>506</v>
      </c>
      <c r="S153" s="88">
        <f t="shared" si="9"/>
        <v>779</v>
      </c>
    </row>
    <row r="154" spans="2:19" ht="15" customHeight="1">
      <c r="B154" s="97" t="s">
        <v>233</v>
      </c>
      <c r="C154" s="20" t="s">
        <v>63</v>
      </c>
      <c r="D154" s="20"/>
      <c r="E154" s="22">
        <v>135</v>
      </c>
      <c r="F154" s="79">
        <v>2286</v>
      </c>
      <c r="G154" s="82">
        <v>4594</v>
      </c>
      <c r="H154" s="79">
        <v>1226</v>
      </c>
      <c r="I154" s="71">
        <v>2991</v>
      </c>
      <c r="J154" s="71">
        <v>28</v>
      </c>
      <c r="K154" s="88">
        <v>120</v>
      </c>
      <c r="L154" s="85">
        <v>446</v>
      </c>
      <c r="M154" s="71">
        <v>4</v>
      </c>
      <c r="N154" s="71">
        <v>533</v>
      </c>
      <c r="O154" s="88">
        <v>983</v>
      </c>
      <c r="P154" s="85">
        <f>4972-1376-116</f>
        <v>3480</v>
      </c>
      <c r="Q154" s="88">
        <f>5874-1384-116</f>
        <v>4374</v>
      </c>
      <c r="R154" s="85">
        <f t="shared" si="8"/>
        <v>5717</v>
      </c>
      <c r="S154" s="88">
        <f t="shared" si="9"/>
        <v>8468</v>
      </c>
    </row>
    <row r="155" spans="2:19" ht="15" customHeight="1">
      <c r="B155" s="97" t="s">
        <v>234</v>
      </c>
      <c r="C155" s="20">
        <v>1</v>
      </c>
      <c r="D155" s="20" t="s">
        <v>47</v>
      </c>
      <c r="E155" s="21">
        <v>136</v>
      </c>
      <c r="F155" s="79">
        <v>35</v>
      </c>
      <c r="G155" s="82">
        <v>81</v>
      </c>
      <c r="H155" s="79">
        <v>19</v>
      </c>
      <c r="I155" s="71">
        <v>43</v>
      </c>
      <c r="J155" s="71">
        <v>1</v>
      </c>
      <c r="K155" s="88">
        <v>6</v>
      </c>
      <c r="L155" s="85">
        <v>1</v>
      </c>
      <c r="M155" s="71" t="s">
        <v>195</v>
      </c>
      <c r="N155" s="71">
        <v>10</v>
      </c>
      <c r="O155" s="88">
        <v>11</v>
      </c>
      <c r="P155" s="85">
        <f>106-23</f>
        <v>83</v>
      </c>
      <c r="Q155" s="88">
        <f>132-23</f>
        <v>109</v>
      </c>
      <c r="R155" s="85">
        <f t="shared" si="8"/>
        <v>114</v>
      </c>
      <c r="S155" s="88">
        <f t="shared" si="9"/>
        <v>169</v>
      </c>
    </row>
    <row r="156" spans="2:19" ht="15" customHeight="1">
      <c r="B156" s="97" t="s">
        <v>235</v>
      </c>
      <c r="C156" s="20"/>
      <c r="D156" s="20"/>
      <c r="E156" s="22">
        <v>137</v>
      </c>
      <c r="F156" s="79">
        <v>218</v>
      </c>
      <c r="G156" s="82">
        <v>443</v>
      </c>
      <c r="H156" s="79">
        <v>89</v>
      </c>
      <c r="I156" s="71">
        <v>223</v>
      </c>
      <c r="J156" s="71">
        <v>6</v>
      </c>
      <c r="K156" s="88">
        <v>25</v>
      </c>
      <c r="L156" s="85">
        <v>16</v>
      </c>
      <c r="M156" s="71" t="s">
        <v>195</v>
      </c>
      <c r="N156" s="71">
        <v>79</v>
      </c>
      <c r="O156" s="88">
        <v>96</v>
      </c>
      <c r="P156" s="85">
        <f>837-285</f>
        <v>552</v>
      </c>
      <c r="Q156" s="88">
        <f>942-285</f>
        <v>657</v>
      </c>
      <c r="R156" s="85">
        <f t="shared" si="8"/>
        <v>743</v>
      </c>
      <c r="S156" s="88">
        <f t="shared" si="9"/>
        <v>1001</v>
      </c>
    </row>
    <row r="157" spans="2:19" ht="15" customHeight="1">
      <c r="B157" s="97" t="s">
        <v>0</v>
      </c>
      <c r="C157" s="20"/>
      <c r="D157" s="20"/>
      <c r="E157" s="22">
        <v>138</v>
      </c>
      <c r="F157" s="79">
        <v>608</v>
      </c>
      <c r="G157" s="82">
        <v>1354</v>
      </c>
      <c r="H157" s="79">
        <v>381</v>
      </c>
      <c r="I157" s="71">
        <v>939</v>
      </c>
      <c r="J157" s="71">
        <v>11</v>
      </c>
      <c r="K157" s="88">
        <v>51</v>
      </c>
      <c r="L157" s="85">
        <v>38</v>
      </c>
      <c r="M157" s="71" t="s">
        <v>195</v>
      </c>
      <c r="N157" s="71">
        <v>135</v>
      </c>
      <c r="O157" s="88">
        <v>174</v>
      </c>
      <c r="P157" s="85">
        <f>1628-420</f>
        <v>1208</v>
      </c>
      <c r="Q157" s="88">
        <f>1938-420</f>
        <v>1518</v>
      </c>
      <c r="R157" s="85">
        <f t="shared" si="8"/>
        <v>1774</v>
      </c>
      <c r="S157" s="88">
        <f t="shared" si="9"/>
        <v>2682</v>
      </c>
    </row>
    <row r="158" spans="2:19" ht="15" customHeight="1">
      <c r="B158" s="97" t="s">
        <v>1</v>
      </c>
      <c r="C158" s="20"/>
      <c r="D158" s="20"/>
      <c r="E158" s="21">
        <v>139</v>
      </c>
      <c r="F158" s="79">
        <v>51</v>
      </c>
      <c r="G158" s="82">
        <v>95</v>
      </c>
      <c r="H158" s="79">
        <v>21</v>
      </c>
      <c r="I158" s="71">
        <v>56</v>
      </c>
      <c r="J158" s="71">
        <v>2</v>
      </c>
      <c r="K158" s="88">
        <v>11</v>
      </c>
      <c r="L158" s="85">
        <v>8</v>
      </c>
      <c r="M158" s="71" t="s">
        <v>195</v>
      </c>
      <c r="N158" s="71">
        <v>17</v>
      </c>
      <c r="O158" s="88">
        <v>25</v>
      </c>
      <c r="P158" s="85">
        <f>221-64</f>
        <v>157</v>
      </c>
      <c r="Q158" s="88">
        <f>247-64</f>
        <v>183</v>
      </c>
      <c r="R158" s="85">
        <f t="shared" si="8"/>
        <v>205</v>
      </c>
      <c r="S158" s="88">
        <f t="shared" si="9"/>
        <v>275</v>
      </c>
    </row>
    <row r="159" spans="2:19" ht="15" customHeight="1">
      <c r="B159" s="97" t="s">
        <v>2</v>
      </c>
      <c r="C159" s="20">
        <v>1</v>
      </c>
      <c r="D159" s="20" t="s">
        <v>52</v>
      </c>
      <c r="E159" s="22">
        <v>140</v>
      </c>
      <c r="F159" s="79">
        <v>64</v>
      </c>
      <c r="G159" s="82">
        <v>129</v>
      </c>
      <c r="H159" s="79">
        <v>29</v>
      </c>
      <c r="I159" s="71">
        <v>70</v>
      </c>
      <c r="J159" s="71">
        <v>1</v>
      </c>
      <c r="K159" s="88">
        <v>5</v>
      </c>
      <c r="L159" s="85">
        <v>2</v>
      </c>
      <c r="M159" s="71" t="s">
        <v>195</v>
      </c>
      <c r="N159" s="71">
        <v>20</v>
      </c>
      <c r="O159" s="88">
        <v>23</v>
      </c>
      <c r="P159" s="85">
        <f>184-50</f>
        <v>134</v>
      </c>
      <c r="Q159" s="88">
        <f>246-50</f>
        <v>196</v>
      </c>
      <c r="R159" s="85">
        <f t="shared" si="8"/>
        <v>187</v>
      </c>
      <c r="S159" s="88">
        <f t="shared" si="9"/>
        <v>294</v>
      </c>
    </row>
    <row r="160" spans="2:19" ht="15" customHeight="1">
      <c r="B160" s="97" t="s">
        <v>3</v>
      </c>
      <c r="C160" s="20">
        <v>1</v>
      </c>
      <c r="D160" s="20" t="s">
        <v>47</v>
      </c>
      <c r="E160" s="22">
        <v>141</v>
      </c>
      <c r="F160" s="79">
        <v>122</v>
      </c>
      <c r="G160" s="82">
        <v>250</v>
      </c>
      <c r="H160" s="79">
        <v>51</v>
      </c>
      <c r="I160" s="71">
        <v>120</v>
      </c>
      <c r="J160" s="71">
        <v>4</v>
      </c>
      <c r="K160" s="88">
        <v>16</v>
      </c>
      <c r="L160" s="85">
        <v>11</v>
      </c>
      <c r="M160" s="71" t="s">
        <v>195</v>
      </c>
      <c r="N160" s="71">
        <v>30</v>
      </c>
      <c r="O160" s="88">
        <v>42</v>
      </c>
      <c r="P160" s="85">
        <f>329-108-3</f>
        <v>218</v>
      </c>
      <c r="Q160" s="88">
        <f>395-108-3</f>
        <v>284</v>
      </c>
      <c r="R160" s="85">
        <f t="shared" si="8"/>
        <v>315</v>
      </c>
      <c r="S160" s="88">
        <f t="shared" si="9"/>
        <v>462</v>
      </c>
    </row>
    <row r="161" spans="2:19" ht="15" customHeight="1">
      <c r="B161" s="97" t="s">
        <v>4</v>
      </c>
      <c r="C161" s="20"/>
      <c r="D161" s="20"/>
      <c r="E161" s="21">
        <v>142</v>
      </c>
      <c r="F161" s="79">
        <v>31</v>
      </c>
      <c r="G161" s="82">
        <v>55</v>
      </c>
      <c r="H161" s="79">
        <v>18</v>
      </c>
      <c r="I161" s="71">
        <v>34</v>
      </c>
      <c r="J161" s="71"/>
      <c r="K161" s="88"/>
      <c r="L161" s="85">
        <v>2</v>
      </c>
      <c r="M161" s="71" t="s">
        <v>195</v>
      </c>
      <c r="N161" s="71">
        <v>15</v>
      </c>
      <c r="O161" s="88">
        <v>17</v>
      </c>
      <c r="P161" s="85">
        <f>196-57</f>
        <v>139</v>
      </c>
      <c r="Q161" s="88">
        <f>211-57</f>
        <v>154</v>
      </c>
      <c r="R161" s="85">
        <f t="shared" si="8"/>
        <v>174</v>
      </c>
      <c r="S161" s="88">
        <f t="shared" si="9"/>
        <v>205</v>
      </c>
    </row>
    <row r="162" spans="2:19" ht="15" customHeight="1">
      <c r="B162" s="97" t="s">
        <v>5</v>
      </c>
      <c r="C162" s="20"/>
      <c r="D162" s="20"/>
      <c r="E162" s="22">
        <v>143</v>
      </c>
      <c r="F162" s="79">
        <v>669</v>
      </c>
      <c r="G162" s="82">
        <v>1345</v>
      </c>
      <c r="H162" s="79">
        <v>263</v>
      </c>
      <c r="I162" s="71">
        <v>692</v>
      </c>
      <c r="J162" s="71">
        <v>17</v>
      </c>
      <c r="K162" s="88">
        <v>70</v>
      </c>
      <c r="L162" s="85">
        <v>50</v>
      </c>
      <c r="M162" s="71">
        <v>3</v>
      </c>
      <c r="N162" s="71">
        <v>260</v>
      </c>
      <c r="O162" s="88">
        <v>313</v>
      </c>
      <c r="P162" s="85">
        <f>2323-804-29</f>
        <v>1490</v>
      </c>
      <c r="Q162" s="88">
        <f>2690-804-29</f>
        <v>1857</v>
      </c>
      <c r="R162" s="85">
        <f t="shared" si="8"/>
        <v>2083</v>
      </c>
      <c r="S162" s="88">
        <f t="shared" si="9"/>
        <v>2932</v>
      </c>
    </row>
    <row r="163" spans="2:19" ht="15" customHeight="1">
      <c r="B163" s="97" t="s">
        <v>6</v>
      </c>
      <c r="C163" s="20"/>
      <c r="D163" s="20"/>
      <c r="E163" s="22">
        <v>144</v>
      </c>
      <c r="F163" s="79">
        <v>111</v>
      </c>
      <c r="G163" s="82">
        <v>215</v>
      </c>
      <c r="H163" s="79">
        <v>49</v>
      </c>
      <c r="I163" s="71">
        <v>120</v>
      </c>
      <c r="J163" s="71">
        <v>4</v>
      </c>
      <c r="K163" s="88">
        <v>20</v>
      </c>
      <c r="L163" s="85">
        <v>36</v>
      </c>
      <c r="M163" s="71" t="s">
        <v>195</v>
      </c>
      <c r="N163" s="71">
        <v>45</v>
      </c>
      <c r="O163" s="88">
        <v>81</v>
      </c>
      <c r="P163" s="85">
        <f>824-255</f>
        <v>569</v>
      </c>
      <c r="Q163" s="88">
        <f>865-256</f>
        <v>609</v>
      </c>
      <c r="R163" s="85">
        <f t="shared" si="8"/>
        <v>703</v>
      </c>
      <c r="S163" s="88">
        <f t="shared" si="9"/>
        <v>830</v>
      </c>
    </row>
    <row r="164" spans="2:19" ht="15" customHeight="1">
      <c r="B164" s="97" t="s">
        <v>7</v>
      </c>
      <c r="C164" s="20">
        <v>1</v>
      </c>
      <c r="D164" s="20" t="s">
        <v>47</v>
      </c>
      <c r="E164" s="21">
        <v>145</v>
      </c>
      <c r="F164" s="79">
        <v>3</v>
      </c>
      <c r="G164" s="82">
        <v>8</v>
      </c>
      <c r="H164" s="79">
        <v>1</v>
      </c>
      <c r="I164" s="71">
        <v>5</v>
      </c>
      <c r="J164" s="71"/>
      <c r="K164" s="88"/>
      <c r="L164" s="85" t="s">
        <v>195</v>
      </c>
      <c r="M164" s="71" t="s">
        <v>195</v>
      </c>
      <c r="N164" s="71" t="s">
        <v>195</v>
      </c>
      <c r="O164" s="88" t="s">
        <v>195</v>
      </c>
      <c r="P164" s="85">
        <v>6</v>
      </c>
      <c r="Q164" s="88">
        <v>7</v>
      </c>
      <c r="R164" s="85">
        <f t="shared" si="8"/>
        <v>7</v>
      </c>
      <c r="S164" s="88">
        <f t="shared" si="9"/>
        <v>12</v>
      </c>
    </row>
    <row r="165" spans="2:19" ht="15" customHeight="1">
      <c r="B165" s="97" t="s">
        <v>8</v>
      </c>
      <c r="C165" s="20"/>
      <c r="D165" s="20"/>
      <c r="E165" s="22">
        <v>146</v>
      </c>
      <c r="F165" s="79">
        <v>582</v>
      </c>
      <c r="G165" s="82">
        <v>1317</v>
      </c>
      <c r="H165" s="79">
        <v>307</v>
      </c>
      <c r="I165" s="71">
        <v>792</v>
      </c>
      <c r="J165" s="71">
        <v>26</v>
      </c>
      <c r="K165" s="88">
        <v>108</v>
      </c>
      <c r="L165" s="85">
        <v>41</v>
      </c>
      <c r="M165" s="71">
        <v>3</v>
      </c>
      <c r="N165" s="71">
        <v>193</v>
      </c>
      <c r="O165" s="88">
        <v>238</v>
      </c>
      <c r="P165" s="85">
        <f>1394-431-20</f>
        <v>943</v>
      </c>
      <c r="Q165" s="88">
        <f>1698-431-20</f>
        <v>1247</v>
      </c>
      <c r="R165" s="85">
        <f t="shared" si="8"/>
        <v>1514</v>
      </c>
      <c r="S165" s="88">
        <f t="shared" si="9"/>
        <v>2385</v>
      </c>
    </row>
    <row r="166" spans="2:19" ht="15" customHeight="1">
      <c r="B166" s="97" t="s">
        <v>9</v>
      </c>
      <c r="C166" s="20">
        <v>1</v>
      </c>
      <c r="D166" s="20" t="s">
        <v>47</v>
      </c>
      <c r="E166" s="22">
        <v>147</v>
      </c>
      <c r="F166" s="79">
        <v>29</v>
      </c>
      <c r="G166" s="82">
        <v>58</v>
      </c>
      <c r="H166" s="79">
        <v>11</v>
      </c>
      <c r="I166" s="71">
        <v>28</v>
      </c>
      <c r="J166" s="71">
        <v>1</v>
      </c>
      <c r="K166" s="88">
        <v>11</v>
      </c>
      <c r="L166" s="85" t="s">
        <v>195</v>
      </c>
      <c r="M166" s="71" t="s">
        <v>195</v>
      </c>
      <c r="N166" s="71">
        <v>9</v>
      </c>
      <c r="O166" s="88">
        <v>10</v>
      </c>
      <c r="P166" s="85">
        <f>86-27</f>
        <v>59</v>
      </c>
      <c r="Q166" s="88">
        <f>108-27</f>
        <v>81</v>
      </c>
      <c r="R166" s="85">
        <f t="shared" si="8"/>
        <v>81</v>
      </c>
      <c r="S166" s="88">
        <f t="shared" si="9"/>
        <v>130</v>
      </c>
    </row>
    <row r="167" spans="2:19" ht="15" customHeight="1">
      <c r="B167" s="97" t="s">
        <v>10</v>
      </c>
      <c r="C167" s="20"/>
      <c r="D167" s="20"/>
      <c r="E167" s="21">
        <v>148</v>
      </c>
      <c r="F167" s="79">
        <v>424</v>
      </c>
      <c r="G167" s="82">
        <v>899</v>
      </c>
      <c r="H167" s="79">
        <v>207</v>
      </c>
      <c r="I167" s="71">
        <v>488</v>
      </c>
      <c r="J167" s="71">
        <v>10</v>
      </c>
      <c r="K167" s="88">
        <v>43</v>
      </c>
      <c r="L167" s="85">
        <v>81</v>
      </c>
      <c r="M167" s="71">
        <v>1</v>
      </c>
      <c r="N167" s="71">
        <v>115</v>
      </c>
      <c r="O167" s="88">
        <v>197</v>
      </c>
      <c r="P167" s="85">
        <f>1793-548-34</f>
        <v>1211</v>
      </c>
      <c r="Q167" s="88">
        <f>2052-548-34</f>
        <v>1470</v>
      </c>
      <c r="R167" s="85">
        <f t="shared" si="8"/>
        <v>1625</v>
      </c>
      <c r="S167" s="88">
        <f t="shared" si="9"/>
        <v>2198</v>
      </c>
    </row>
    <row r="168" spans="2:19" ht="15" customHeight="1">
      <c r="B168" s="97" t="s">
        <v>11</v>
      </c>
      <c r="C168" s="20">
        <v>1</v>
      </c>
      <c r="D168" s="20" t="s">
        <v>52</v>
      </c>
      <c r="E168" s="22">
        <v>149</v>
      </c>
      <c r="F168" s="79">
        <v>2</v>
      </c>
      <c r="G168" s="82">
        <v>5</v>
      </c>
      <c r="H168" s="79">
        <v>1</v>
      </c>
      <c r="I168" s="71">
        <v>2</v>
      </c>
      <c r="J168" s="71"/>
      <c r="K168" s="88">
        <v>2</v>
      </c>
      <c r="L168" s="85" t="s">
        <v>195</v>
      </c>
      <c r="M168" s="71" t="s">
        <v>195</v>
      </c>
      <c r="N168" s="71" t="s">
        <v>195</v>
      </c>
      <c r="O168" s="88" t="s">
        <v>195</v>
      </c>
      <c r="P168" s="85">
        <v>9</v>
      </c>
      <c r="Q168" s="88">
        <v>11</v>
      </c>
      <c r="R168" s="85">
        <f t="shared" si="8"/>
        <v>10</v>
      </c>
      <c r="S168" s="88">
        <f t="shared" si="9"/>
        <v>15</v>
      </c>
    </row>
    <row r="169" spans="2:19" ht="15" customHeight="1">
      <c r="B169" s="97" t="s">
        <v>12</v>
      </c>
      <c r="C169" s="20">
        <v>1</v>
      </c>
      <c r="D169" s="20" t="s">
        <v>52</v>
      </c>
      <c r="E169" s="22">
        <v>150</v>
      </c>
      <c r="F169" s="79">
        <v>17</v>
      </c>
      <c r="G169" s="82">
        <v>37</v>
      </c>
      <c r="H169" s="79">
        <v>11</v>
      </c>
      <c r="I169" s="71">
        <v>30</v>
      </c>
      <c r="J169" s="71"/>
      <c r="K169" s="88"/>
      <c r="L169" s="85">
        <v>7</v>
      </c>
      <c r="M169" s="71" t="s">
        <v>195</v>
      </c>
      <c r="N169" s="71">
        <v>5</v>
      </c>
      <c r="O169" s="88">
        <v>12</v>
      </c>
      <c r="P169" s="85">
        <f>94-16</f>
        <v>78</v>
      </c>
      <c r="Q169" s="88">
        <f>112-16</f>
        <v>96</v>
      </c>
      <c r="R169" s="85">
        <f t="shared" si="8"/>
        <v>101</v>
      </c>
      <c r="S169" s="88">
        <f t="shared" si="9"/>
        <v>138</v>
      </c>
    </row>
    <row r="170" spans="2:19" ht="15" customHeight="1">
      <c r="B170" s="97" t="s">
        <v>13</v>
      </c>
      <c r="C170" s="20" t="s">
        <v>63</v>
      </c>
      <c r="D170" s="20"/>
      <c r="E170" s="21">
        <v>151</v>
      </c>
      <c r="F170" s="79">
        <v>6500</v>
      </c>
      <c r="G170" s="82">
        <v>14776</v>
      </c>
      <c r="H170" s="79">
        <v>3293</v>
      </c>
      <c r="I170" s="71">
        <v>8948</v>
      </c>
      <c r="J170" s="71">
        <v>259</v>
      </c>
      <c r="K170" s="88">
        <v>1064</v>
      </c>
      <c r="L170" s="85">
        <v>474</v>
      </c>
      <c r="M170" s="71">
        <v>2</v>
      </c>
      <c r="N170" s="71">
        <v>1308</v>
      </c>
      <c r="O170" s="88">
        <v>1786</v>
      </c>
      <c r="P170" s="85">
        <f>9610-2731-215</f>
        <v>6664</v>
      </c>
      <c r="Q170" s="88">
        <f>12103-2735-216</f>
        <v>9152</v>
      </c>
      <c r="R170" s="85">
        <f t="shared" si="8"/>
        <v>12002</v>
      </c>
      <c r="S170" s="88">
        <f t="shared" si="9"/>
        <v>20950</v>
      </c>
    </row>
    <row r="171" spans="2:19" ht="15" customHeight="1">
      <c r="B171" s="97" t="s">
        <v>14</v>
      </c>
      <c r="C171" s="20"/>
      <c r="D171" s="20"/>
      <c r="E171" s="22">
        <v>152</v>
      </c>
      <c r="F171" s="79">
        <v>112</v>
      </c>
      <c r="G171" s="82">
        <v>220</v>
      </c>
      <c r="H171" s="79">
        <v>60</v>
      </c>
      <c r="I171" s="71">
        <v>143</v>
      </c>
      <c r="J171" s="71">
        <v>2</v>
      </c>
      <c r="K171" s="88">
        <v>7</v>
      </c>
      <c r="L171" s="85">
        <v>10</v>
      </c>
      <c r="M171" s="71">
        <v>1</v>
      </c>
      <c r="N171" s="71">
        <v>46</v>
      </c>
      <c r="O171" s="88">
        <v>57</v>
      </c>
      <c r="P171" s="85">
        <f>922-297</f>
        <v>625</v>
      </c>
      <c r="Q171" s="88">
        <f>1005-297</f>
        <v>708</v>
      </c>
      <c r="R171" s="85">
        <f t="shared" si="8"/>
        <v>744</v>
      </c>
      <c r="S171" s="88">
        <f t="shared" si="9"/>
        <v>915</v>
      </c>
    </row>
    <row r="172" spans="2:19" ht="15" customHeight="1">
      <c r="B172" s="97" t="s">
        <v>15</v>
      </c>
      <c r="C172" s="20"/>
      <c r="D172" s="20"/>
      <c r="E172" s="22">
        <v>153</v>
      </c>
      <c r="F172" s="79">
        <v>148</v>
      </c>
      <c r="G172" s="82">
        <v>286</v>
      </c>
      <c r="H172" s="79">
        <v>71</v>
      </c>
      <c r="I172" s="71">
        <v>161</v>
      </c>
      <c r="J172" s="71">
        <v>5</v>
      </c>
      <c r="K172" s="88">
        <v>21</v>
      </c>
      <c r="L172" s="85">
        <v>31</v>
      </c>
      <c r="M172" s="71">
        <v>1</v>
      </c>
      <c r="N172" s="71">
        <v>82</v>
      </c>
      <c r="O172" s="88">
        <v>114</v>
      </c>
      <c r="P172" s="85">
        <f>641-227</f>
        <v>414</v>
      </c>
      <c r="Q172" s="88">
        <f>751-227</f>
        <v>524</v>
      </c>
      <c r="R172" s="85">
        <f t="shared" si="8"/>
        <v>604</v>
      </c>
      <c r="S172" s="88">
        <f t="shared" si="9"/>
        <v>820</v>
      </c>
    </row>
    <row r="173" spans="2:19" ht="15" customHeight="1">
      <c r="B173" s="97" t="s">
        <v>16</v>
      </c>
      <c r="C173" s="20" t="s">
        <v>63</v>
      </c>
      <c r="D173" s="20"/>
      <c r="E173" s="22">
        <v>155</v>
      </c>
      <c r="F173" s="79">
        <v>938</v>
      </c>
      <c r="G173" s="82">
        <v>1864</v>
      </c>
      <c r="H173" s="79">
        <v>341</v>
      </c>
      <c r="I173" s="71">
        <v>869</v>
      </c>
      <c r="J173" s="71">
        <v>37</v>
      </c>
      <c r="K173" s="88">
        <v>152</v>
      </c>
      <c r="L173" s="85">
        <v>434</v>
      </c>
      <c r="M173" s="71">
        <v>1</v>
      </c>
      <c r="N173" s="71">
        <v>320</v>
      </c>
      <c r="O173" s="88">
        <v>757</v>
      </c>
      <c r="P173" s="85">
        <f>2681-960-22</f>
        <v>1699</v>
      </c>
      <c r="Q173" s="88">
        <f>2970-960-22</f>
        <v>1988</v>
      </c>
      <c r="R173" s="85">
        <f t="shared" si="8"/>
        <v>2834</v>
      </c>
      <c r="S173" s="88">
        <f t="shared" si="9"/>
        <v>3766</v>
      </c>
    </row>
    <row r="174" spans="2:19" ht="15" customHeight="1">
      <c r="B174" s="97" t="s">
        <v>17</v>
      </c>
      <c r="C174" s="20" t="s">
        <v>63</v>
      </c>
      <c r="D174" s="20"/>
      <c r="E174" s="22">
        <v>156</v>
      </c>
      <c r="F174" s="79">
        <v>2007</v>
      </c>
      <c r="G174" s="82">
        <v>4517</v>
      </c>
      <c r="H174" s="79">
        <v>1122</v>
      </c>
      <c r="I174" s="71">
        <v>2909</v>
      </c>
      <c r="J174" s="71">
        <v>40</v>
      </c>
      <c r="K174" s="88">
        <v>163</v>
      </c>
      <c r="L174" s="85">
        <v>110</v>
      </c>
      <c r="M174" s="71">
        <v>2</v>
      </c>
      <c r="N174" s="71">
        <v>376</v>
      </c>
      <c r="O174" s="88">
        <v>489</v>
      </c>
      <c r="P174" s="85">
        <f>3155-724-14</f>
        <v>2417</v>
      </c>
      <c r="Q174" s="88">
        <f>3858-724-14</f>
        <v>3120</v>
      </c>
      <c r="R174" s="85">
        <f t="shared" si="8"/>
        <v>4068</v>
      </c>
      <c r="S174" s="88">
        <f t="shared" si="9"/>
        <v>6681</v>
      </c>
    </row>
    <row r="175" spans="2:19" ht="15" customHeight="1">
      <c r="B175" s="97" t="s">
        <v>18</v>
      </c>
      <c r="C175" s="20">
        <v>1</v>
      </c>
      <c r="D175" s="20" t="s">
        <v>75</v>
      </c>
      <c r="E175" s="21">
        <v>154</v>
      </c>
      <c r="F175" s="79">
        <v>84</v>
      </c>
      <c r="G175" s="82">
        <v>128</v>
      </c>
      <c r="H175" s="79">
        <v>23</v>
      </c>
      <c r="I175" s="71">
        <v>52</v>
      </c>
      <c r="J175" s="71"/>
      <c r="K175" s="88">
        <v>2</v>
      </c>
      <c r="L175" s="85">
        <v>17</v>
      </c>
      <c r="M175" s="71"/>
      <c r="N175" s="71">
        <v>38</v>
      </c>
      <c r="O175" s="88">
        <v>56</v>
      </c>
      <c r="P175" s="85">
        <f>201-71</f>
        <v>130</v>
      </c>
      <c r="Q175" s="88">
        <f>234-71</f>
        <v>163</v>
      </c>
      <c r="R175" s="85">
        <f t="shared" si="8"/>
        <v>209</v>
      </c>
      <c r="S175" s="88">
        <f t="shared" si="9"/>
        <v>273</v>
      </c>
    </row>
    <row r="176" spans="2:19" ht="15" customHeight="1">
      <c r="B176" s="97" t="s">
        <v>19</v>
      </c>
      <c r="C176" s="20"/>
      <c r="D176" s="20"/>
      <c r="E176" s="21">
        <v>157</v>
      </c>
      <c r="F176" s="79">
        <v>7</v>
      </c>
      <c r="G176" s="82">
        <v>11</v>
      </c>
      <c r="H176" s="79">
        <v>5</v>
      </c>
      <c r="I176" s="71">
        <v>10</v>
      </c>
      <c r="J176" s="71"/>
      <c r="K176" s="88">
        <v>2</v>
      </c>
      <c r="L176" s="85">
        <v>2</v>
      </c>
      <c r="M176" s="71" t="s">
        <v>195</v>
      </c>
      <c r="N176" s="71">
        <v>6</v>
      </c>
      <c r="O176" s="88">
        <v>9</v>
      </c>
      <c r="P176" s="85">
        <v>13</v>
      </c>
      <c r="Q176" s="88">
        <v>15</v>
      </c>
      <c r="R176" s="85">
        <f t="shared" si="8"/>
        <v>27</v>
      </c>
      <c r="S176" s="88">
        <f t="shared" si="9"/>
        <v>36</v>
      </c>
    </row>
    <row r="177" spans="2:19" ht="15" customHeight="1">
      <c r="B177" s="97" t="s">
        <v>20</v>
      </c>
      <c r="C177" s="20"/>
      <c r="D177" s="20"/>
      <c r="E177" s="22">
        <v>158</v>
      </c>
      <c r="F177" s="79">
        <v>70</v>
      </c>
      <c r="G177" s="82">
        <v>114</v>
      </c>
      <c r="H177" s="79">
        <v>26</v>
      </c>
      <c r="I177" s="71">
        <v>60</v>
      </c>
      <c r="J177" s="71"/>
      <c r="K177" s="88">
        <v>2</v>
      </c>
      <c r="L177" s="85">
        <v>11</v>
      </c>
      <c r="M177" s="71" t="s">
        <v>195</v>
      </c>
      <c r="N177" s="71">
        <v>56</v>
      </c>
      <c r="O177" s="88">
        <v>68</v>
      </c>
      <c r="P177" s="85">
        <f>353-138-6</f>
        <v>209</v>
      </c>
      <c r="Q177" s="88">
        <f>379-138-6</f>
        <v>235</v>
      </c>
      <c r="R177" s="85">
        <f t="shared" si="8"/>
        <v>303</v>
      </c>
      <c r="S177" s="88">
        <f t="shared" si="9"/>
        <v>365</v>
      </c>
    </row>
    <row r="178" spans="2:19" ht="15" customHeight="1">
      <c r="B178" s="97" t="s">
        <v>21</v>
      </c>
      <c r="C178" s="20"/>
      <c r="D178" s="20"/>
      <c r="E178" s="22">
        <v>159</v>
      </c>
      <c r="F178" s="79">
        <v>277</v>
      </c>
      <c r="G178" s="82">
        <v>460</v>
      </c>
      <c r="H178" s="79">
        <v>96</v>
      </c>
      <c r="I178" s="71">
        <v>226</v>
      </c>
      <c r="J178" s="71">
        <v>5</v>
      </c>
      <c r="K178" s="88">
        <v>26</v>
      </c>
      <c r="L178" s="85">
        <v>38</v>
      </c>
      <c r="M178" s="71">
        <v>1</v>
      </c>
      <c r="N178" s="71">
        <v>83</v>
      </c>
      <c r="O178" s="88">
        <v>122</v>
      </c>
      <c r="P178" s="85">
        <f>923-329-14</f>
        <v>580</v>
      </c>
      <c r="Q178" s="88">
        <f>1007-329-14</f>
        <v>664</v>
      </c>
      <c r="R178" s="85">
        <f t="shared" si="8"/>
        <v>803</v>
      </c>
      <c r="S178" s="88">
        <f t="shared" si="9"/>
        <v>1038</v>
      </c>
    </row>
    <row r="179" spans="2:19" ht="15" customHeight="1">
      <c r="B179" s="97" t="s">
        <v>22</v>
      </c>
      <c r="C179" s="20">
        <v>1</v>
      </c>
      <c r="D179" s="20" t="s">
        <v>47</v>
      </c>
      <c r="E179" s="21">
        <v>160</v>
      </c>
      <c r="F179" s="79">
        <v>31</v>
      </c>
      <c r="G179" s="82">
        <v>62</v>
      </c>
      <c r="H179" s="79">
        <v>17</v>
      </c>
      <c r="I179" s="71">
        <v>37</v>
      </c>
      <c r="J179" s="71">
        <v>1</v>
      </c>
      <c r="K179" s="88">
        <v>4</v>
      </c>
      <c r="L179" s="85">
        <v>15</v>
      </c>
      <c r="M179" s="71" t="s">
        <v>195</v>
      </c>
      <c r="N179" s="71">
        <v>14</v>
      </c>
      <c r="O179" s="88">
        <v>29</v>
      </c>
      <c r="P179" s="85">
        <f>87-20</f>
        <v>67</v>
      </c>
      <c r="Q179" s="88">
        <f>110-20</f>
        <v>90</v>
      </c>
      <c r="R179" s="85">
        <f t="shared" si="8"/>
        <v>114</v>
      </c>
      <c r="S179" s="88">
        <f t="shared" si="9"/>
        <v>160</v>
      </c>
    </row>
    <row r="180" spans="2:19" ht="15" customHeight="1">
      <c r="B180" s="97" t="s">
        <v>23</v>
      </c>
      <c r="C180" s="20"/>
      <c r="D180" s="20"/>
      <c r="E180" s="22">
        <v>161</v>
      </c>
      <c r="F180" s="79">
        <v>10</v>
      </c>
      <c r="G180" s="82">
        <v>19</v>
      </c>
      <c r="H180" s="79">
        <v>7</v>
      </c>
      <c r="I180" s="71">
        <v>14</v>
      </c>
      <c r="J180" s="71"/>
      <c r="K180" s="88"/>
      <c r="L180" s="85">
        <v>1</v>
      </c>
      <c r="M180" s="71" t="s">
        <v>195</v>
      </c>
      <c r="N180" s="71">
        <v>12</v>
      </c>
      <c r="O180" s="88">
        <v>13</v>
      </c>
      <c r="P180" s="85">
        <f>397-171</f>
        <v>226</v>
      </c>
      <c r="Q180" s="88">
        <f>402-171</f>
        <v>231</v>
      </c>
      <c r="R180" s="85">
        <f aca="true" t="shared" si="10" ref="R180:R190">SUM(H180,J180,O180,P180)</f>
        <v>246</v>
      </c>
      <c r="S180" s="88">
        <f aca="true" t="shared" si="11" ref="S180:S190">SUM(I180,K180,O180,Q180)</f>
        <v>258</v>
      </c>
    </row>
    <row r="181" spans="2:19" ht="15" customHeight="1">
      <c r="B181" s="97" t="s">
        <v>24</v>
      </c>
      <c r="C181" s="20">
        <v>1</v>
      </c>
      <c r="D181" s="20" t="s">
        <v>52</v>
      </c>
      <c r="E181" s="22">
        <v>162</v>
      </c>
      <c r="F181" s="79">
        <v>244</v>
      </c>
      <c r="G181" s="82">
        <v>543</v>
      </c>
      <c r="H181" s="79">
        <v>104</v>
      </c>
      <c r="I181" s="71">
        <v>256</v>
      </c>
      <c r="J181" s="71">
        <v>6</v>
      </c>
      <c r="K181" s="88">
        <v>27</v>
      </c>
      <c r="L181" s="85">
        <v>26</v>
      </c>
      <c r="M181" s="71" t="s">
        <v>195</v>
      </c>
      <c r="N181" s="71">
        <v>85</v>
      </c>
      <c r="O181" s="88">
        <v>111</v>
      </c>
      <c r="P181" s="85">
        <f>666-213-8</f>
        <v>445</v>
      </c>
      <c r="Q181" s="88">
        <f>862-213-8</f>
        <v>641</v>
      </c>
      <c r="R181" s="85">
        <f t="shared" si="10"/>
        <v>666</v>
      </c>
      <c r="S181" s="88">
        <f t="shared" si="11"/>
        <v>1035</v>
      </c>
    </row>
    <row r="182" spans="2:19" ht="15" customHeight="1">
      <c r="B182" s="97" t="s">
        <v>25</v>
      </c>
      <c r="C182" s="20"/>
      <c r="D182" s="20"/>
      <c r="E182" s="21">
        <v>163</v>
      </c>
      <c r="F182" s="79">
        <v>1313</v>
      </c>
      <c r="G182" s="82">
        <v>2943</v>
      </c>
      <c r="H182" s="79">
        <v>591</v>
      </c>
      <c r="I182" s="71">
        <v>1588</v>
      </c>
      <c r="J182" s="71">
        <v>44</v>
      </c>
      <c r="K182" s="88">
        <v>182</v>
      </c>
      <c r="L182" s="85">
        <v>52</v>
      </c>
      <c r="M182" s="71">
        <v>1</v>
      </c>
      <c r="N182" s="71">
        <v>246</v>
      </c>
      <c r="O182" s="88">
        <v>300</v>
      </c>
      <c r="P182" s="85">
        <f>2375-655-16</f>
        <v>1704</v>
      </c>
      <c r="Q182" s="88">
        <f>3028-655-16</f>
        <v>2357</v>
      </c>
      <c r="R182" s="85">
        <f t="shared" si="10"/>
        <v>2639</v>
      </c>
      <c r="S182" s="88">
        <f t="shared" si="11"/>
        <v>4427</v>
      </c>
    </row>
    <row r="183" spans="2:19" ht="15" customHeight="1">
      <c r="B183" s="97" t="s">
        <v>26</v>
      </c>
      <c r="C183" s="20"/>
      <c r="D183" s="20"/>
      <c r="E183" s="22">
        <v>164</v>
      </c>
      <c r="F183" s="79">
        <v>396</v>
      </c>
      <c r="G183" s="82">
        <v>826</v>
      </c>
      <c r="H183" s="79">
        <v>236</v>
      </c>
      <c r="I183" s="71">
        <v>572</v>
      </c>
      <c r="J183" s="71">
        <v>5</v>
      </c>
      <c r="K183" s="88">
        <v>22</v>
      </c>
      <c r="L183" s="85">
        <v>54</v>
      </c>
      <c r="M183" s="71">
        <v>1</v>
      </c>
      <c r="N183" s="71">
        <v>97</v>
      </c>
      <c r="O183" s="88">
        <v>153</v>
      </c>
      <c r="P183" s="85">
        <f>1493-445-16</f>
        <v>1032</v>
      </c>
      <c r="Q183" s="88">
        <f>1666-445-16</f>
        <v>1205</v>
      </c>
      <c r="R183" s="85">
        <f t="shared" si="10"/>
        <v>1426</v>
      </c>
      <c r="S183" s="88">
        <f t="shared" si="11"/>
        <v>1952</v>
      </c>
    </row>
    <row r="184" spans="2:19" ht="15" customHeight="1">
      <c r="B184" s="97" t="s">
        <v>27</v>
      </c>
      <c r="C184" s="20"/>
      <c r="D184" s="20"/>
      <c r="E184" s="22">
        <v>165</v>
      </c>
      <c r="F184" s="79">
        <v>127</v>
      </c>
      <c r="G184" s="82">
        <v>296</v>
      </c>
      <c r="H184" s="79">
        <v>69</v>
      </c>
      <c r="I184" s="71">
        <v>176</v>
      </c>
      <c r="J184" s="71">
        <v>6</v>
      </c>
      <c r="K184" s="88">
        <v>26</v>
      </c>
      <c r="L184" s="85">
        <v>6</v>
      </c>
      <c r="M184" s="71" t="s">
        <v>195</v>
      </c>
      <c r="N184" s="71">
        <v>25</v>
      </c>
      <c r="O184" s="88">
        <v>32</v>
      </c>
      <c r="P184" s="85">
        <f>389-97</f>
        <v>292</v>
      </c>
      <c r="Q184" s="88">
        <f>483-97</f>
        <v>386</v>
      </c>
      <c r="R184" s="85">
        <f t="shared" si="10"/>
        <v>399</v>
      </c>
      <c r="S184" s="88">
        <f t="shared" si="11"/>
        <v>620</v>
      </c>
    </row>
    <row r="185" spans="2:19" ht="15" customHeight="1">
      <c r="B185" s="97" t="s">
        <v>28</v>
      </c>
      <c r="C185" s="20"/>
      <c r="D185" s="20"/>
      <c r="E185" s="21">
        <v>166</v>
      </c>
      <c r="F185" s="79">
        <v>89</v>
      </c>
      <c r="G185" s="82">
        <v>164</v>
      </c>
      <c r="H185" s="79">
        <v>52</v>
      </c>
      <c r="I185" s="71">
        <v>108</v>
      </c>
      <c r="J185" s="71"/>
      <c r="K185" s="88">
        <v>1</v>
      </c>
      <c r="L185" s="85">
        <v>17</v>
      </c>
      <c r="M185" s="71" t="s">
        <v>195</v>
      </c>
      <c r="N185" s="71">
        <v>69</v>
      </c>
      <c r="O185" s="88">
        <v>87</v>
      </c>
      <c r="P185" s="85">
        <f>458-155</f>
        <v>303</v>
      </c>
      <c r="Q185" s="88">
        <f>505-155</f>
        <v>350</v>
      </c>
      <c r="R185" s="85">
        <f t="shared" si="10"/>
        <v>442</v>
      </c>
      <c r="S185" s="88">
        <f t="shared" si="11"/>
        <v>546</v>
      </c>
    </row>
    <row r="186" spans="2:19" ht="15" customHeight="1">
      <c r="B186" s="97" t="s">
        <v>29</v>
      </c>
      <c r="C186" s="20"/>
      <c r="D186" s="20"/>
      <c r="E186" s="22">
        <v>167</v>
      </c>
      <c r="F186" s="79">
        <v>28</v>
      </c>
      <c r="G186" s="82">
        <v>53</v>
      </c>
      <c r="H186" s="79">
        <v>12</v>
      </c>
      <c r="I186" s="71">
        <v>26</v>
      </c>
      <c r="J186" s="71">
        <v>1</v>
      </c>
      <c r="K186" s="88">
        <v>6</v>
      </c>
      <c r="L186" s="85">
        <v>11</v>
      </c>
      <c r="M186" s="71" t="s">
        <v>195</v>
      </c>
      <c r="N186" s="71">
        <v>9</v>
      </c>
      <c r="O186" s="88">
        <v>20</v>
      </c>
      <c r="P186" s="85">
        <f>154-42</f>
        <v>112</v>
      </c>
      <c r="Q186" s="88">
        <f>169-42</f>
        <v>127</v>
      </c>
      <c r="R186" s="85">
        <f t="shared" si="10"/>
        <v>145</v>
      </c>
      <c r="S186" s="88">
        <f t="shared" si="11"/>
        <v>179</v>
      </c>
    </row>
    <row r="187" spans="2:19" ht="15" customHeight="1">
      <c r="B187" s="97" t="s">
        <v>30</v>
      </c>
      <c r="C187" s="20">
        <v>1</v>
      </c>
      <c r="D187" s="20" t="s">
        <v>52</v>
      </c>
      <c r="E187" s="22">
        <v>168</v>
      </c>
      <c r="F187" s="79">
        <v>22</v>
      </c>
      <c r="G187" s="82">
        <v>44</v>
      </c>
      <c r="H187" s="79">
        <v>10</v>
      </c>
      <c r="I187" s="71">
        <v>25</v>
      </c>
      <c r="J187" s="71">
        <v>1</v>
      </c>
      <c r="K187" s="88">
        <v>4</v>
      </c>
      <c r="L187" s="85">
        <v>6</v>
      </c>
      <c r="M187" s="71" t="s">
        <v>195</v>
      </c>
      <c r="N187" s="71">
        <v>18</v>
      </c>
      <c r="O187" s="88">
        <v>24</v>
      </c>
      <c r="P187" s="85">
        <f>136-44</f>
        <v>92</v>
      </c>
      <c r="Q187" s="88">
        <f>158-44</f>
        <v>114</v>
      </c>
      <c r="R187" s="85">
        <f t="shared" si="10"/>
        <v>127</v>
      </c>
      <c r="S187" s="88">
        <f t="shared" si="11"/>
        <v>167</v>
      </c>
    </row>
    <row r="188" spans="2:19" ht="15" customHeight="1">
      <c r="B188" s="97" t="s">
        <v>31</v>
      </c>
      <c r="C188" s="20">
        <v>1</v>
      </c>
      <c r="D188" s="20" t="s">
        <v>47</v>
      </c>
      <c r="E188" s="21">
        <v>169</v>
      </c>
      <c r="F188" s="79">
        <v>33</v>
      </c>
      <c r="G188" s="82">
        <v>74</v>
      </c>
      <c r="H188" s="79">
        <v>19</v>
      </c>
      <c r="I188" s="71">
        <v>46</v>
      </c>
      <c r="J188" s="71">
        <v>1</v>
      </c>
      <c r="K188" s="88">
        <v>6</v>
      </c>
      <c r="L188" s="85">
        <v>1</v>
      </c>
      <c r="M188" s="71" t="s">
        <v>195</v>
      </c>
      <c r="N188" s="71">
        <v>7</v>
      </c>
      <c r="O188" s="88">
        <v>8</v>
      </c>
      <c r="P188" s="85">
        <f>99-22</f>
        <v>77</v>
      </c>
      <c r="Q188" s="88">
        <f>123-22</f>
        <v>101</v>
      </c>
      <c r="R188" s="85">
        <f t="shared" si="10"/>
        <v>105</v>
      </c>
      <c r="S188" s="88">
        <f t="shared" si="11"/>
        <v>161</v>
      </c>
    </row>
    <row r="189" spans="2:19" ht="15" customHeight="1">
      <c r="B189" s="98" t="s">
        <v>32</v>
      </c>
      <c r="C189" s="22"/>
      <c r="D189" s="22"/>
      <c r="E189" s="22"/>
      <c r="F189" s="79"/>
      <c r="G189" s="82"/>
      <c r="H189" s="79"/>
      <c r="I189" s="71"/>
      <c r="J189" s="71"/>
      <c r="K189" s="88"/>
      <c r="L189" s="85" t="s">
        <v>195</v>
      </c>
      <c r="M189" s="71" t="s">
        <v>195</v>
      </c>
      <c r="N189" s="71">
        <v>1</v>
      </c>
      <c r="O189" s="88">
        <v>1</v>
      </c>
      <c r="P189" s="85">
        <f>223-3</f>
        <v>220</v>
      </c>
      <c r="Q189" s="88">
        <v>220</v>
      </c>
      <c r="R189" s="85">
        <f t="shared" si="10"/>
        <v>221</v>
      </c>
      <c r="S189" s="88">
        <f t="shared" si="11"/>
        <v>221</v>
      </c>
    </row>
    <row r="190" spans="2:19" ht="15" customHeight="1" thickBot="1">
      <c r="B190" s="99" t="s">
        <v>33</v>
      </c>
      <c r="C190" s="36"/>
      <c r="D190" s="36"/>
      <c r="E190" s="36"/>
      <c r="F190" s="100">
        <v>89749</v>
      </c>
      <c r="G190" s="101">
        <v>194918</v>
      </c>
      <c r="H190" s="100">
        <v>45451</v>
      </c>
      <c r="I190" s="102">
        <v>119788</v>
      </c>
      <c r="J190" s="102">
        <v>2477</v>
      </c>
      <c r="K190" s="103">
        <v>10418</v>
      </c>
      <c r="L190" s="104">
        <v>7640</v>
      </c>
      <c r="M190" s="102">
        <v>140</v>
      </c>
      <c r="N190" s="102">
        <v>19237</v>
      </c>
      <c r="O190" s="103">
        <v>27018</v>
      </c>
      <c r="P190" s="104">
        <f>163023-45544-2764</f>
        <v>114715</v>
      </c>
      <c r="Q190" s="103">
        <f>195553-45565-2772</f>
        <v>147216</v>
      </c>
      <c r="R190" s="104">
        <f t="shared" si="10"/>
        <v>189661</v>
      </c>
      <c r="S190" s="103">
        <f t="shared" si="11"/>
        <v>304440</v>
      </c>
    </row>
    <row r="191" ht="15" customHeight="1">
      <c r="B191" s="1" t="s">
        <v>236</v>
      </c>
    </row>
  </sheetData>
  <mergeCells count="9">
    <mergeCell ref="B17:E17"/>
    <mergeCell ref="B8:E9"/>
    <mergeCell ref="B18:E18"/>
    <mergeCell ref="B14:E14"/>
    <mergeCell ref="B15:E15"/>
    <mergeCell ref="B16:E16"/>
    <mergeCell ref="B11:E11"/>
    <mergeCell ref="B12:E12"/>
    <mergeCell ref="B13:E1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S189"/>
  <sheetViews>
    <sheetView zoomScale="75" zoomScaleNormal="75" workbookViewId="0" topLeftCell="A1">
      <selection activeCell="B6" sqref="B6:E7"/>
    </sheetView>
  </sheetViews>
  <sheetFormatPr defaultColWidth="9.00390625" defaultRowHeight="15" customHeight="1"/>
  <cols>
    <col min="1" max="16384" width="12.75390625" style="0" customWidth="1"/>
  </cols>
  <sheetData>
    <row r="1" ht="15" customHeight="1">
      <c r="I1" s="1"/>
    </row>
    <row r="2" ht="15" customHeight="1">
      <c r="I2" s="1"/>
    </row>
    <row r="3" ht="15" customHeight="1">
      <c r="I3" s="1"/>
    </row>
    <row r="4" ht="15" customHeight="1" thickBot="1"/>
    <row r="5" spans="2:14" ht="43.5" customHeight="1" thickBot="1">
      <c r="B5" s="169" t="s">
        <v>97</v>
      </c>
      <c r="C5" s="172"/>
      <c r="D5" s="172"/>
      <c r="E5" s="172"/>
      <c r="F5" s="173"/>
      <c r="G5" s="173"/>
      <c r="H5" s="173"/>
      <c r="I5" s="173"/>
      <c r="J5" s="173"/>
      <c r="K5" s="173"/>
      <c r="L5" s="173"/>
      <c r="M5" s="173"/>
      <c r="N5" s="174"/>
    </row>
    <row r="6" spans="2:19" ht="15" customHeight="1">
      <c r="B6" s="193" t="s">
        <v>199</v>
      </c>
      <c r="C6" s="194"/>
      <c r="D6" s="194"/>
      <c r="E6" s="195"/>
      <c r="F6" s="9" t="s">
        <v>180</v>
      </c>
      <c r="G6" s="11"/>
      <c r="H6" s="9" t="s">
        <v>185</v>
      </c>
      <c r="I6" s="62"/>
      <c r="J6" s="62"/>
      <c r="K6" s="63"/>
      <c r="L6" s="10" t="s">
        <v>181</v>
      </c>
      <c r="M6" s="10"/>
      <c r="N6" s="10"/>
      <c r="O6" s="11"/>
      <c r="P6" s="10" t="s">
        <v>182</v>
      </c>
      <c r="Q6" s="11"/>
      <c r="R6" s="10" t="s">
        <v>184</v>
      </c>
      <c r="S6" s="11"/>
    </row>
    <row r="7" spans="2:19" ht="15" customHeight="1">
      <c r="B7" s="196"/>
      <c r="C7" s="197"/>
      <c r="D7" s="197"/>
      <c r="E7" s="198"/>
      <c r="F7" s="56"/>
      <c r="G7" s="57"/>
      <c r="H7" s="68" t="s">
        <v>178</v>
      </c>
      <c r="I7" s="69"/>
      <c r="J7" s="69" t="s">
        <v>179</v>
      </c>
      <c r="K7" s="70"/>
      <c r="L7" s="64"/>
      <c r="M7" s="64"/>
      <c r="N7" s="64"/>
      <c r="O7" s="65"/>
      <c r="P7" s="66" t="s">
        <v>183</v>
      </c>
      <c r="Q7" s="67"/>
      <c r="R7" s="66" t="s">
        <v>183</v>
      </c>
      <c r="S7" s="67"/>
    </row>
    <row r="8" spans="2:19" ht="15" customHeight="1" thickBot="1">
      <c r="B8" s="5"/>
      <c r="C8" s="6"/>
      <c r="D8" s="6"/>
      <c r="E8" s="7"/>
      <c r="F8" s="58" t="s">
        <v>172</v>
      </c>
      <c r="G8" s="59" t="s">
        <v>173</v>
      </c>
      <c r="H8" s="58" t="s">
        <v>172</v>
      </c>
      <c r="I8" s="60" t="s">
        <v>173</v>
      </c>
      <c r="J8" s="60" t="s">
        <v>172</v>
      </c>
      <c r="K8" s="59" t="s">
        <v>173</v>
      </c>
      <c r="L8" s="61" t="s">
        <v>174</v>
      </c>
      <c r="M8" s="60" t="s">
        <v>175</v>
      </c>
      <c r="N8" s="60" t="s">
        <v>176</v>
      </c>
      <c r="O8" s="59" t="s">
        <v>177</v>
      </c>
      <c r="P8" s="61" t="s">
        <v>172</v>
      </c>
      <c r="Q8" s="59" t="s">
        <v>173</v>
      </c>
      <c r="R8" s="61" t="s">
        <v>172</v>
      </c>
      <c r="S8" s="59" t="s">
        <v>173</v>
      </c>
    </row>
    <row r="9" spans="2:19" ht="15" customHeight="1">
      <c r="B9" s="205" t="s">
        <v>42</v>
      </c>
      <c r="C9" s="206"/>
      <c r="D9" s="206"/>
      <c r="E9" s="207"/>
      <c r="F9" s="89">
        <v>2269</v>
      </c>
      <c r="G9" s="90">
        <v>4593</v>
      </c>
      <c r="H9" s="89">
        <v>814</v>
      </c>
      <c r="I9" s="91">
        <v>1839</v>
      </c>
      <c r="J9" s="91">
        <v>45</v>
      </c>
      <c r="K9" s="92">
        <v>226</v>
      </c>
      <c r="L9" s="93">
        <v>317</v>
      </c>
      <c r="M9" s="91">
        <v>7</v>
      </c>
      <c r="N9" s="91">
        <v>989</v>
      </c>
      <c r="O9" s="92">
        <v>1331</v>
      </c>
      <c r="P9" s="93">
        <v>6584</v>
      </c>
      <c r="Q9" s="92">
        <v>9507</v>
      </c>
      <c r="R9" s="93">
        <v>8774</v>
      </c>
      <c r="S9" s="92">
        <v>12903</v>
      </c>
    </row>
    <row r="10" spans="2:19" ht="15" customHeight="1">
      <c r="B10" s="199" t="s">
        <v>200</v>
      </c>
      <c r="C10" s="200"/>
      <c r="D10" s="200"/>
      <c r="E10" s="201"/>
      <c r="F10" s="77">
        <v>83307</v>
      </c>
      <c r="G10" s="80">
        <v>172783</v>
      </c>
      <c r="H10" s="77">
        <v>32520</v>
      </c>
      <c r="I10" s="75">
        <v>81442</v>
      </c>
      <c r="J10" s="75">
        <v>1457</v>
      </c>
      <c r="K10" s="86">
        <v>6019</v>
      </c>
      <c r="L10" s="83">
        <v>7000</v>
      </c>
      <c r="M10" s="75">
        <v>132</v>
      </c>
      <c r="N10" s="75">
        <v>17582</v>
      </c>
      <c r="O10" s="86">
        <v>24697</v>
      </c>
      <c r="P10" s="83">
        <v>127457</v>
      </c>
      <c r="Q10" s="86">
        <v>188169</v>
      </c>
      <c r="R10" s="83">
        <v>186131</v>
      </c>
      <c r="S10" s="86">
        <v>300327</v>
      </c>
    </row>
    <row r="11" spans="2:19" ht="15" customHeight="1">
      <c r="B11" s="199" t="s">
        <v>201</v>
      </c>
      <c r="C11" s="200"/>
      <c r="D11" s="200"/>
      <c r="E11" s="201"/>
      <c r="F11" s="77">
        <v>62845</v>
      </c>
      <c r="G11" s="80">
        <v>132772</v>
      </c>
      <c r="H11" s="77">
        <v>24970</v>
      </c>
      <c r="I11" s="75">
        <v>63979</v>
      </c>
      <c r="J11" s="75">
        <v>1036</v>
      </c>
      <c r="K11" s="86">
        <v>4378</v>
      </c>
      <c r="L11" s="83">
        <v>4988</v>
      </c>
      <c r="M11" s="75">
        <v>62</v>
      </c>
      <c r="N11" s="75">
        <v>11549</v>
      </c>
      <c r="O11" s="86">
        <v>16611</v>
      </c>
      <c r="P11" s="83">
        <v>79125</v>
      </c>
      <c r="Q11" s="86">
        <v>121260</v>
      </c>
      <c r="R11" s="83">
        <v>121742</v>
      </c>
      <c r="S11" s="86">
        <v>206228</v>
      </c>
    </row>
    <row r="12" spans="2:19" ht="15" customHeight="1">
      <c r="B12" s="199" t="s">
        <v>202</v>
      </c>
      <c r="C12" s="200"/>
      <c r="D12" s="200"/>
      <c r="E12" s="201"/>
      <c r="F12" s="77">
        <v>20462</v>
      </c>
      <c r="G12" s="80">
        <v>40011</v>
      </c>
      <c r="H12" s="77">
        <v>7550</v>
      </c>
      <c r="I12" s="75">
        <v>17463</v>
      </c>
      <c r="J12" s="75">
        <v>421</v>
      </c>
      <c r="K12" s="86">
        <v>1641</v>
      </c>
      <c r="L12" s="83">
        <v>2012</v>
      </c>
      <c r="M12" s="75">
        <v>70</v>
      </c>
      <c r="N12" s="75">
        <v>6033</v>
      </c>
      <c r="O12" s="86">
        <v>8086</v>
      </c>
      <c r="P12" s="83">
        <v>48332</v>
      </c>
      <c r="Q12" s="86">
        <v>66909</v>
      </c>
      <c r="R12" s="83">
        <v>64389</v>
      </c>
      <c r="S12" s="86">
        <v>94099</v>
      </c>
    </row>
    <row r="13" spans="2:19" ht="15" customHeight="1">
      <c r="B13" s="199" t="s">
        <v>43</v>
      </c>
      <c r="C13" s="200"/>
      <c r="D13" s="200"/>
      <c r="E13" s="201"/>
      <c r="F13" s="77">
        <v>1328</v>
      </c>
      <c r="G13" s="80">
        <v>2783</v>
      </c>
      <c r="H13" s="77">
        <v>506</v>
      </c>
      <c r="I13" s="75">
        <v>1152</v>
      </c>
      <c r="J13" s="75">
        <v>36</v>
      </c>
      <c r="K13" s="86">
        <v>169</v>
      </c>
      <c r="L13" s="83">
        <v>129</v>
      </c>
      <c r="M13" s="75">
        <v>6</v>
      </c>
      <c r="N13" s="75">
        <v>441</v>
      </c>
      <c r="O13" s="86">
        <v>586</v>
      </c>
      <c r="P13" s="83">
        <v>3505</v>
      </c>
      <c r="Q13" s="86">
        <v>5094</v>
      </c>
      <c r="R13" s="83">
        <v>4633</v>
      </c>
      <c r="S13" s="86">
        <v>7001</v>
      </c>
    </row>
    <row r="14" spans="2:19" ht="15" customHeight="1">
      <c r="B14" s="199" t="s">
        <v>44</v>
      </c>
      <c r="C14" s="200"/>
      <c r="D14" s="200"/>
      <c r="E14" s="201"/>
      <c r="F14" s="77">
        <v>727</v>
      </c>
      <c r="G14" s="80">
        <v>1446</v>
      </c>
      <c r="H14" s="77">
        <v>248</v>
      </c>
      <c r="I14" s="75">
        <v>553</v>
      </c>
      <c r="J14" s="75">
        <v>9</v>
      </c>
      <c r="K14" s="86">
        <v>52</v>
      </c>
      <c r="L14" s="83">
        <v>130</v>
      </c>
      <c r="M14" s="75">
        <v>1</v>
      </c>
      <c r="N14" s="75">
        <v>335</v>
      </c>
      <c r="O14" s="86">
        <v>472</v>
      </c>
      <c r="P14" s="83">
        <v>2386</v>
      </c>
      <c r="Q14" s="86">
        <v>3468</v>
      </c>
      <c r="R14" s="83">
        <v>3115</v>
      </c>
      <c r="S14" s="86">
        <v>4545</v>
      </c>
    </row>
    <row r="15" spans="2:19" ht="15" customHeight="1">
      <c r="B15" s="199" t="s">
        <v>45</v>
      </c>
      <c r="C15" s="200"/>
      <c r="D15" s="200"/>
      <c r="E15" s="201"/>
      <c r="F15" s="77">
        <v>214</v>
      </c>
      <c r="G15" s="80">
        <v>364</v>
      </c>
      <c r="H15" s="77">
        <v>60</v>
      </c>
      <c r="I15" s="75">
        <v>134</v>
      </c>
      <c r="J15" s="75">
        <v>0</v>
      </c>
      <c r="K15" s="86">
        <v>5</v>
      </c>
      <c r="L15" s="83">
        <v>58</v>
      </c>
      <c r="M15" s="75">
        <v>0</v>
      </c>
      <c r="N15" s="75">
        <v>213</v>
      </c>
      <c r="O15" s="86">
        <v>273</v>
      </c>
      <c r="P15" s="83">
        <v>693</v>
      </c>
      <c r="Q15" s="86">
        <v>945</v>
      </c>
      <c r="R15" s="83">
        <v>1026</v>
      </c>
      <c r="S15" s="86">
        <v>1357</v>
      </c>
    </row>
    <row r="16" spans="2:19" ht="15" customHeight="1" thickBot="1">
      <c r="B16" s="202" t="s">
        <v>46</v>
      </c>
      <c r="C16" s="203"/>
      <c r="D16" s="203"/>
      <c r="E16" s="204"/>
      <c r="F16" s="77">
        <v>85576</v>
      </c>
      <c r="G16" s="80">
        <v>177376</v>
      </c>
      <c r="H16" s="77">
        <v>33334</v>
      </c>
      <c r="I16" s="75">
        <v>83281</v>
      </c>
      <c r="J16" s="75">
        <v>1502</v>
      </c>
      <c r="K16" s="86">
        <v>6245</v>
      </c>
      <c r="L16" s="83">
        <v>7317</v>
      </c>
      <c r="M16" s="75">
        <v>139</v>
      </c>
      <c r="N16" s="75">
        <v>18571</v>
      </c>
      <c r="O16" s="86">
        <v>26028</v>
      </c>
      <c r="P16" s="83">
        <v>134041</v>
      </c>
      <c r="Q16" s="86">
        <v>197676</v>
      </c>
      <c r="R16" s="83">
        <v>194905</v>
      </c>
      <c r="S16" s="86">
        <v>313230</v>
      </c>
    </row>
    <row r="17" spans="2:19" ht="15" customHeight="1" thickBot="1">
      <c r="B17" s="13" t="s">
        <v>203</v>
      </c>
      <c r="C17" s="13" t="s">
        <v>196</v>
      </c>
      <c r="D17" s="13" t="s">
        <v>197</v>
      </c>
      <c r="E17" s="73" t="s">
        <v>198</v>
      </c>
      <c r="F17" s="78"/>
      <c r="G17" s="81"/>
      <c r="H17" s="78"/>
      <c r="I17" s="76"/>
      <c r="J17" s="76"/>
      <c r="K17" s="87"/>
      <c r="L17" s="84"/>
      <c r="M17" s="76"/>
      <c r="N17" s="76"/>
      <c r="O17" s="87"/>
      <c r="P17" s="84"/>
      <c r="Q17" s="87"/>
      <c r="R17" s="84"/>
      <c r="S17" s="87"/>
    </row>
    <row r="18" spans="2:19" ht="15" customHeight="1">
      <c r="B18" s="94" t="s">
        <v>48</v>
      </c>
      <c r="C18" s="95">
        <v>1</v>
      </c>
      <c r="D18" s="95" t="s">
        <v>47</v>
      </c>
      <c r="E18" s="96">
        <v>1</v>
      </c>
      <c r="F18" s="79">
        <v>10</v>
      </c>
      <c r="G18" s="82">
        <v>22</v>
      </c>
      <c r="H18" s="79">
        <v>5</v>
      </c>
      <c r="I18" s="71">
        <v>10</v>
      </c>
      <c r="J18" s="72">
        <v>0</v>
      </c>
      <c r="K18" s="88">
        <v>0</v>
      </c>
      <c r="L18" s="85">
        <v>3</v>
      </c>
      <c r="M18" s="71">
        <v>0</v>
      </c>
      <c r="N18" s="71">
        <v>6</v>
      </c>
      <c r="O18" s="88">
        <v>9</v>
      </c>
      <c r="P18" s="85">
        <f>51-14</f>
        <v>37</v>
      </c>
      <c r="Q18" s="88">
        <f>65-14</f>
        <v>51</v>
      </c>
      <c r="R18" s="85">
        <f aca="true" t="shared" si="0" ref="R18:R49">SUM(H18,J18,O18,P18)</f>
        <v>51</v>
      </c>
      <c r="S18" s="88">
        <f aca="true" t="shared" si="1" ref="S18:S49">SUM(I18,K18,O18,Q18)</f>
        <v>70</v>
      </c>
    </row>
    <row r="19" spans="2:19" ht="15" customHeight="1">
      <c r="B19" s="97" t="s">
        <v>49</v>
      </c>
      <c r="C19" s="20"/>
      <c r="D19" s="20"/>
      <c r="E19" s="22">
        <v>2</v>
      </c>
      <c r="F19" s="79">
        <v>608</v>
      </c>
      <c r="G19" s="82">
        <v>1281</v>
      </c>
      <c r="H19" s="79">
        <v>254</v>
      </c>
      <c r="I19" s="71">
        <v>634</v>
      </c>
      <c r="J19" s="71">
        <v>8</v>
      </c>
      <c r="K19" s="88">
        <v>34</v>
      </c>
      <c r="L19" s="85">
        <v>21</v>
      </c>
      <c r="M19" s="71">
        <v>0</v>
      </c>
      <c r="N19" s="71">
        <v>83</v>
      </c>
      <c r="O19" s="88">
        <v>105</v>
      </c>
      <c r="P19" s="85">
        <f>1150-235-16</f>
        <v>899</v>
      </c>
      <c r="Q19" s="88">
        <f>1579-235-16</f>
        <v>1328</v>
      </c>
      <c r="R19" s="85">
        <f t="shared" si="0"/>
        <v>1266</v>
      </c>
      <c r="S19" s="88">
        <f t="shared" si="1"/>
        <v>2101</v>
      </c>
    </row>
    <row r="20" spans="2:19" ht="15" customHeight="1">
      <c r="B20" s="97" t="s">
        <v>50</v>
      </c>
      <c r="C20" s="20">
        <v>1</v>
      </c>
      <c r="D20" s="20" t="s">
        <v>47</v>
      </c>
      <c r="E20" s="22">
        <v>3</v>
      </c>
      <c r="F20" s="79">
        <v>30</v>
      </c>
      <c r="G20" s="82">
        <v>65</v>
      </c>
      <c r="H20" s="79">
        <v>15</v>
      </c>
      <c r="I20" s="71">
        <v>33</v>
      </c>
      <c r="J20" s="71">
        <v>0</v>
      </c>
      <c r="K20" s="88">
        <v>0</v>
      </c>
      <c r="L20" s="85">
        <v>11</v>
      </c>
      <c r="M20" s="71">
        <v>0</v>
      </c>
      <c r="N20" s="71">
        <v>7</v>
      </c>
      <c r="O20" s="88">
        <v>19</v>
      </c>
      <c r="P20" s="85">
        <f>125-25</f>
        <v>100</v>
      </c>
      <c r="Q20" s="88">
        <f>183-25</f>
        <v>158</v>
      </c>
      <c r="R20" s="85">
        <f t="shared" si="0"/>
        <v>134</v>
      </c>
      <c r="S20" s="88">
        <f t="shared" si="1"/>
        <v>210</v>
      </c>
    </row>
    <row r="21" spans="2:19" ht="15" customHeight="1">
      <c r="B21" s="97" t="s">
        <v>51</v>
      </c>
      <c r="C21" s="20"/>
      <c r="D21" s="20"/>
      <c r="E21" s="21">
        <v>4</v>
      </c>
      <c r="F21" s="79">
        <v>18</v>
      </c>
      <c r="G21" s="82">
        <v>30</v>
      </c>
      <c r="H21" s="79">
        <v>2</v>
      </c>
      <c r="I21" s="71">
        <v>4</v>
      </c>
      <c r="J21" s="71">
        <v>0</v>
      </c>
      <c r="K21" s="88">
        <v>0</v>
      </c>
      <c r="L21" s="85">
        <v>6</v>
      </c>
      <c r="M21" s="71">
        <v>0</v>
      </c>
      <c r="N21" s="71">
        <v>16</v>
      </c>
      <c r="O21" s="88">
        <v>23</v>
      </c>
      <c r="P21" s="85">
        <f>223-61-11</f>
        <v>151</v>
      </c>
      <c r="Q21" s="88">
        <f>242-61-11</f>
        <v>170</v>
      </c>
      <c r="R21" s="85">
        <f t="shared" si="0"/>
        <v>176</v>
      </c>
      <c r="S21" s="88">
        <f t="shared" si="1"/>
        <v>197</v>
      </c>
    </row>
    <row r="22" spans="2:19" ht="15" customHeight="1">
      <c r="B22" s="97" t="s">
        <v>53</v>
      </c>
      <c r="C22" s="20">
        <v>1</v>
      </c>
      <c r="D22" s="20" t="s">
        <v>52</v>
      </c>
      <c r="E22" s="22">
        <v>5</v>
      </c>
      <c r="F22" s="79">
        <v>5</v>
      </c>
      <c r="G22" s="82">
        <v>8</v>
      </c>
      <c r="H22" s="79">
        <v>5</v>
      </c>
      <c r="I22" s="71">
        <v>6</v>
      </c>
      <c r="J22" s="71">
        <v>0</v>
      </c>
      <c r="K22" s="88">
        <v>0</v>
      </c>
      <c r="L22" s="85">
        <v>0</v>
      </c>
      <c r="M22" s="71">
        <v>0</v>
      </c>
      <c r="N22" s="71">
        <v>3</v>
      </c>
      <c r="O22" s="88">
        <v>3</v>
      </c>
      <c r="P22" s="85">
        <f>33-8</f>
        <v>25</v>
      </c>
      <c r="Q22" s="88">
        <f>47-8</f>
        <v>39</v>
      </c>
      <c r="R22" s="85">
        <f t="shared" si="0"/>
        <v>33</v>
      </c>
      <c r="S22" s="88">
        <f t="shared" si="1"/>
        <v>48</v>
      </c>
    </row>
    <row r="23" spans="2:19" ht="15" customHeight="1">
      <c r="B23" s="97" t="s">
        <v>54</v>
      </c>
      <c r="C23" s="20">
        <v>1</v>
      </c>
      <c r="D23" s="20" t="s">
        <v>52</v>
      </c>
      <c r="E23" s="22">
        <v>6</v>
      </c>
      <c r="F23" s="79">
        <v>33</v>
      </c>
      <c r="G23" s="82">
        <v>59</v>
      </c>
      <c r="H23" s="79">
        <v>14</v>
      </c>
      <c r="I23" s="71">
        <v>31</v>
      </c>
      <c r="J23" s="71">
        <v>0</v>
      </c>
      <c r="K23" s="88">
        <v>0</v>
      </c>
      <c r="L23" s="85">
        <v>3</v>
      </c>
      <c r="M23" s="71">
        <v>0</v>
      </c>
      <c r="N23" s="71">
        <v>10</v>
      </c>
      <c r="O23" s="88">
        <v>14</v>
      </c>
      <c r="P23" s="85">
        <f>117-33</f>
        <v>84</v>
      </c>
      <c r="Q23" s="88">
        <f>159-33</f>
        <v>126</v>
      </c>
      <c r="R23" s="85">
        <f t="shared" si="0"/>
        <v>112</v>
      </c>
      <c r="S23" s="88">
        <f t="shared" si="1"/>
        <v>171</v>
      </c>
    </row>
    <row r="24" spans="2:19" ht="15" customHeight="1">
      <c r="B24" s="97" t="s">
        <v>55</v>
      </c>
      <c r="C24" s="20"/>
      <c r="D24" s="20"/>
      <c r="E24" s="21">
        <v>7</v>
      </c>
      <c r="F24" s="79">
        <v>73</v>
      </c>
      <c r="G24" s="82">
        <v>126</v>
      </c>
      <c r="H24" s="79">
        <v>27</v>
      </c>
      <c r="I24" s="71">
        <v>56</v>
      </c>
      <c r="J24" s="71">
        <v>0</v>
      </c>
      <c r="K24" s="88">
        <v>0</v>
      </c>
      <c r="L24" s="85">
        <v>25</v>
      </c>
      <c r="M24" s="71">
        <v>0</v>
      </c>
      <c r="N24" s="71">
        <v>39</v>
      </c>
      <c r="O24" s="88">
        <v>64</v>
      </c>
      <c r="P24" s="85">
        <f>329-100</f>
        <v>229</v>
      </c>
      <c r="Q24" s="88">
        <f>420-100</f>
        <v>320</v>
      </c>
      <c r="R24" s="85">
        <f t="shared" si="0"/>
        <v>320</v>
      </c>
      <c r="S24" s="88">
        <f t="shared" si="1"/>
        <v>440</v>
      </c>
    </row>
    <row r="25" spans="2:19" ht="15" customHeight="1">
      <c r="B25" s="97" t="s">
        <v>56</v>
      </c>
      <c r="C25" s="20">
        <v>1</v>
      </c>
      <c r="D25" s="20" t="s">
        <v>52</v>
      </c>
      <c r="E25" s="22">
        <v>8</v>
      </c>
      <c r="F25" s="79">
        <v>13</v>
      </c>
      <c r="G25" s="82">
        <v>32</v>
      </c>
      <c r="H25" s="79">
        <v>6</v>
      </c>
      <c r="I25" s="71">
        <v>19</v>
      </c>
      <c r="J25" s="71">
        <v>0</v>
      </c>
      <c r="K25" s="88">
        <v>0</v>
      </c>
      <c r="L25" s="85">
        <v>1</v>
      </c>
      <c r="M25" s="71">
        <v>0</v>
      </c>
      <c r="N25" s="71">
        <v>7</v>
      </c>
      <c r="O25" s="88">
        <v>8</v>
      </c>
      <c r="P25" s="85">
        <f>38-7</f>
        <v>31</v>
      </c>
      <c r="Q25" s="88">
        <f>53-7</f>
        <v>46</v>
      </c>
      <c r="R25" s="85">
        <f t="shared" si="0"/>
        <v>45</v>
      </c>
      <c r="S25" s="88">
        <f t="shared" si="1"/>
        <v>73</v>
      </c>
    </row>
    <row r="26" spans="2:19" ht="15" customHeight="1">
      <c r="B26" s="97" t="s">
        <v>57</v>
      </c>
      <c r="C26" s="20"/>
      <c r="D26" s="20"/>
      <c r="E26" s="22">
        <v>9</v>
      </c>
      <c r="F26" s="79">
        <v>89</v>
      </c>
      <c r="G26" s="82">
        <v>152</v>
      </c>
      <c r="H26" s="79">
        <v>31</v>
      </c>
      <c r="I26" s="71">
        <v>60</v>
      </c>
      <c r="J26" s="71">
        <v>1</v>
      </c>
      <c r="K26" s="88">
        <v>3</v>
      </c>
      <c r="L26" s="85">
        <v>16</v>
      </c>
      <c r="M26" s="71">
        <v>0</v>
      </c>
      <c r="N26" s="71">
        <v>24</v>
      </c>
      <c r="O26" s="88">
        <v>41</v>
      </c>
      <c r="P26" s="85">
        <f>431-109-14</f>
        <v>308</v>
      </c>
      <c r="Q26" s="88">
        <f>543-109-14</f>
        <v>420</v>
      </c>
      <c r="R26" s="85">
        <f t="shared" si="0"/>
        <v>381</v>
      </c>
      <c r="S26" s="88">
        <f t="shared" si="1"/>
        <v>524</v>
      </c>
    </row>
    <row r="27" spans="2:19" ht="15" customHeight="1">
      <c r="B27" s="97" t="s">
        <v>58</v>
      </c>
      <c r="C27" s="20">
        <v>1</v>
      </c>
      <c r="D27" s="20" t="s">
        <v>52</v>
      </c>
      <c r="E27" s="21">
        <v>10</v>
      </c>
      <c r="F27" s="79">
        <v>4</v>
      </c>
      <c r="G27" s="82">
        <v>5</v>
      </c>
      <c r="H27" s="79">
        <v>3</v>
      </c>
      <c r="I27" s="71">
        <v>6</v>
      </c>
      <c r="J27" s="71">
        <v>0</v>
      </c>
      <c r="K27" s="88">
        <v>0</v>
      </c>
      <c r="L27" s="85">
        <v>1</v>
      </c>
      <c r="M27" s="71">
        <v>0</v>
      </c>
      <c r="N27" s="71">
        <v>3</v>
      </c>
      <c r="O27" s="88">
        <v>4</v>
      </c>
      <c r="P27" s="85">
        <f>65-18</f>
        <v>47</v>
      </c>
      <c r="Q27" s="88">
        <f>82-18</f>
        <v>64</v>
      </c>
      <c r="R27" s="85">
        <f t="shared" si="0"/>
        <v>54</v>
      </c>
      <c r="S27" s="88">
        <f t="shared" si="1"/>
        <v>74</v>
      </c>
    </row>
    <row r="28" spans="2:19" ht="15" customHeight="1">
      <c r="B28" s="97" t="s">
        <v>59</v>
      </c>
      <c r="C28" s="20"/>
      <c r="D28" s="20"/>
      <c r="E28" s="22">
        <v>11</v>
      </c>
      <c r="F28" s="79">
        <v>333</v>
      </c>
      <c r="G28" s="82">
        <v>599</v>
      </c>
      <c r="H28" s="79">
        <v>188</v>
      </c>
      <c r="I28" s="71">
        <v>393</v>
      </c>
      <c r="J28" s="71">
        <v>0</v>
      </c>
      <c r="K28" s="88">
        <v>2</v>
      </c>
      <c r="L28" s="85">
        <v>64</v>
      </c>
      <c r="M28" s="71">
        <v>5</v>
      </c>
      <c r="N28" s="71">
        <v>84</v>
      </c>
      <c r="O28" s="88">
        <v>153</v>
      </c>
      <c r="P28" s="85">
        <f>1533-413-35</f>
        <v>1085</v>
      </c>
      <c r="Q28" s="88">
        <f>1782-413-35</f>
        <v>1334</v>
      </c>
      <c r="R28" s="85">
        <f t="shared" si="0"/>
        <v>1426</v>
      </c>
      <c r="S28" s="88">
        <f t="shared" si="1"/>
        <v>1882</v>
      </c>
    </row>
    <row r="29" spans="2:19" ht="15" customHeight="1">
      <c r="B29" s="97" t="s">
        <v>60</v>
      </c>
      <c r="C29" s="20">
        <v>1</v>
      </c>
      <c r="D29" s="20" t="s">
        <v>47</v>
      </c>
      <c r="E29" s="22">
        <v>12</v>
      </c>
      <c r="F29" s="79">
        <v>13</v>
      </c>
      <c r="G29" s="82">
        <v>29</v>
      </c>
      <c r="H29" s="79">
        <v>6</v>
      </c>
      <c r="I29" s="71">
        <v>15</v>
      </c>
      <c r="J29" s="71">
        <v>0</v>
      </c>
      <c r="K29" s="88">
        <v>0</v>
      </c>
      <c r="L29" s="85">
        <v>0</v>
      </c>
      <c r="M29" s="71">
        <v>0</v>
      </c>
      <c r="N29" s="71">
        <v>10</v>
      </c>
      <c r="O29" s="88">
        <v>10</v>
      </c>
      <c r="P29" s="85">
        <f>59-9</f>
        <v>50</v>
      </c>
      <c r="Q29" s="88">
        <f>82-9</f>
        <v>73</v>
      </c>
      <c r="R29" s="85">
        <f t="shared" si="0"/>
        <v>66</v>
      </c>
      <c r="S29" s="88">
        <f t="shared" si="1"/>
        <v>98</v>
      </c>
    </row>
    <row r="30" spans="2:19" ht="15" customHeight="1">
      <c r="B30" s="97" t="s">
        <v>61</v>
      </c>
      <c r="C30" s="20">
        <v>1</v>
      </c>
      <c r="D30" s="20" t="s">
        <v>47</v>
      </c>
      <c r="E30" s="21">
        <v>13</v>
      </c>
      <c r="F30" s="79">
        <v>16</v>
      </c>
      <c r="G30" s="82">
        <v>36</v>
      </c>
      <c r="H30" s="79">
        <v>5</v>
      </c>
      <c r="I30" s="71">
        <v>12</v>
      </c>
      <c r="J30" s="71">
        <v>0</v>
      </c>
      <c r="K30" s="88">
        <v>0</v>
      </c>
      <c r="L30" s="85">
        <v>20</v>
      </c>
      <c r="M30" s="71">
        <v>0</v>
      </c>
      <c r="N30" s="71">
        <v>9</v>
      </c>
      <c r="O30" s="88">
        <v>30</v>
      </c>
      <c r="P30" s="85">
        <f>82-36</f>
        <v>46</v>
      </c>
      <c r="Q30" s="88">
        <f>100-36</f>
        <v>64</v>
      </c>
      <c r="R30" s="85">
        <f t="shared" si="0"/>
        <v>81</v>
      </c>
      <c r="S30" s="88">
        <f t="shared" si="1"/>
        <v>106</v>
      </c>
    </row>
    <row r="31" spans="2:19" ht="15" customHeight="1">
      <c r="B31" s="97" t="s">
        <v>62</v>
      </c>
      <c r="C31" s="20"/>
      <c r="D31" s="20"/>
      <c r="E31" s="22">
        <v>14</v>
      </c>
      <c r="F31" s="79">
        <v>297</v>
      </c>
      <c r="G31" s="82">
        <v>491</v>
      </c>
      <c r="H31" s="79">
        <v>85</v>
      </c>
      <c r="I31" s="71">
        <v>176</v>
      </c>
      <c r="J31" s="71">
        <v>2</v>
      </c>
      <c r="K31" s="88">
        <v>9</v>
      </c>
      <c r="L31" s="85">
        <v>20</v>
      </c>
      <c r="M31" s="71">
        <v>0</v>
      </c>
      <c r="N31" s="71">
        <v>132</v>
      </c>
      <c r="O31" s="88">
        <v>152</v>
      </c>
      <c r="P31" s="85">
        <f>895-217-19</f>
        <v>659</v>
      </c>
      <c r="Q31" s="88">
        <f>1124-217-19</f>
        <v>888</v>
      </c>
      <c r="R31" s="85">
        <f t="shared" si="0"/>
        <v>898</v>
      </c>
      <c r="S31" s="88">
        <f t="shared" si="1"/>
        <v>1225</v>
      </c>
    </row>
    <row r="32" spans="2:19" ht="15" customHeight="1">
      <c r="B32" s="97" t="s">
        <v>64</v>
      </c>
      <c r="C32" s="20" t="s">
        <v>63</v>
      </c>
      <c r="D32" s="20"/>
      <c r="E32" s="22">
        <v>15</v>
      </c>
      <c r="F32" s="79">
        <v>9190</v>
      </c>
      <c r="G32" s="82">
        <v>21166</v>
      </c>
      <c r="H32" s="79">
        <v>4047</v>
      </c>
      <c r="I32" s="71">
        <v>10561</v>
      </c>
      <c r="J32" s="71">
        <v>217</v>
      </c>
      <c r="K32" s="88">
        <v>986</v>
      </c>
      <c r="L32" s="85">
        <v>613</v>
      </c>
      <c r="M32" s="71">
        <v>6</v>
      </c>
      <c r="N32" s="71">
        <v>1441</v>
      </c>
      <c r="O32" s="88">
        <v>2062</v>
      </c>
      <c r="P32" s="85">
        <f>15300-2728-199</f>
        <v>12373</v>
      </c>
      <c r="Q32" s="88">
        <f>22419-2728-199</f>
        <v>19492</v>
      </c>
      <c r="R32" s="85">
        <f t="shared" si="0"/>
        <v>18699</v>
      </c>
      <c r="S32" s="88">
        <f t="shared" si="1"/>
        <v>33101</v>
      </c>
    </row>
    <row r="33" spans="2:19" ht="15" customHeight="1">
      <c r="B33" s="97" t="s">
        <v>65</v>
      </c>
      <c r="C33" s="20">
        <v>1</v>
      </c>
      <c r="D33" s="20" t="s">
        <v>52</v>
      </c>
      <c r="E33" s="21">
        <v>16</v>
      </c>
      <c r="F33" s="79">
        <v>2</v>
      </c>
      <c r="G33" s="82">
        <v>4</v>
      </c>
      <c r="H33" s="79">
        <v>1</v>
      </c>
      <c r="I33" s="71">
        <v>3</v>
      </c>
      <c r="J33" s="71">
        <v>0</v>
      </c>
      <c r="K33" s="88">
        <v>0</v>
      </c>
      <c r="L33" s="85">
        <v>0</v>
      </c>
      <c r="M33" s="71">
        <v>0</v>
      </c>
      <c r="N33" s="71">
        <v>0</v>
      </c>
      <c r="O33" s="88">
        <v>0</v>
      </c>
      <c r="P33" s="85">
        <f>12-1</f>
        <v>11</v>
      </c>
      <c r="Q33" s="88">
        <f>18-1</f>
        <v>17</v>
      </c>
      <c r="R33" s="85">
        <f t="shared" si="0"/>
        <v>12</v>
      </c>
      <c r="S33" s="88">
        <f t="shared" si="1"/>
        <v>20</v>
      </c>
    </row>
    <row r="34" spans="2:19" ht="15" customHeight="1">
      <c r="B34" s="97" t="s">
        <v>66</v>
      </c>
      <c r="C34" s="20" t="s">
        <v>63</v>
      </c>
      <c r="D34" s="20"/>
      <c r="E34" s="22">
        <v>17</v>
      </c>
      <c r="F34" s="79">
        <v>1310</v>
      </c>
      <c r="G34" s="82">
        <v>2705</v>
      </c>
      <c r="H34" s="79">
        <v>433</v>
      </c>
      <c r="I34" s="71">
        <v>1035</v>
      </c>
      <c r="J34" s="71">
        <v>29</v>
      </c>
      <c r="K34" s="88">
        <v>115</v>
      </c>
      <c r="L34" s="85">
        <v>61</v>
      </c>
      <c r="M34" s="71">
        <v>4</v>
      </c>
      <c r="N34" s="71">
        <v>272</v>
      </c>
      <c r="O34" s="88">
        <v>338</v>
      </c>
      <c r="P34" s="85">
        <f>3498-919-93</f>
        <v>2486</v>
      </c>
      <c r="Q34" s="88">
        <f>4892-919-93</f>
        <v>3880</v>
      </c>
      <c r="R34" s="85">
        <f t="shared" si="0"/>
        <v>3286</v>
      </c>
      <c r="S34" s="88">
        <f t="shared" si="1"/>
        <v>5368</v>
      </c>
    </row>
    <row r="35" spans="2:19" ht="15" customHeight="1">
      <c r="B35" s="97" t="s">
        <v>67</v>
      </c>
      <c r="C35" s="20"/>
      <c r="D35" s="20"/>
      <c r="E35" s="22">
        <v>18</v>
      </c>
      <c r="F35" s="79">
        <v>35</v>
      </c>
      <c r="G35" s="82">
        <v>53</v>
      </c>
      <c r="H35" s="79">
        <v>12</v>
      </c>
      <c r="I35" s="71">
        <v>21</v>
      </c>
      <c r="J35" s="71">
        <v>0</v>
      </c>
      <c r="K35" s="88">
        <v>1</v>
      </c>
      <c r="L35" s="85">
        <v>6</v>
      </c>
      <c r="M35" s="71">
        <v>0</v>
      </c>
      <c r="N35" s="71">
        <v>7</v>
      </c>
      <c r="O35" s="88">
        <v>14</v>
      </c>
      <c r="P35" s="85">
        <f>260-57-12</f>
        <v>191</v>
      </c>
      <c r="Q35" s="88">
        <f>306-57-12</f>
        <v>237</v>
      </c>
      <c r="R35" s="85">
        <f t="shared" si="0"/>
        <v>217</v>
      </c>
      <c r="S35" s="88">
        <f t="shared" si="1"/>
        <v>273</v>
      </c>
    </row>
    <row r="36" spans="2:19" ht="15" customHeight="1">
      <c r="B36" s="97" t="s">
        <v>68</v>
      </c>
      <c r="C36" s="20">
        <v>1</v>
      </c>
      <c r="D36" s="20" t="s">
        <v>47</v>
      </c>
      <c r="E36" s="21">
        <v>19</v>
      </c>
      <c r="F36" s="79">
        <v>56</v>
      </c>
      <c r="G36" s="82">
        <v>126</v>
      </c>
      <c r="H36" s="79">
        <v>19</v>
      </c>
      <c r="I36" s="71">
        <v>50</v>
      </c>
      <c r="J36" s="71">
        <v>0</v>
      </c>
      <c r="K36" s="88">
        <v>4</v>
      </c>
      <c r="L36" s="85">
        <v>8</v>
      </c>
      <c r="M36" s="71">
        <v>2</v>
      </c>
      <c r="N36" s="71">
        <v>33</v>
      </c>
      <c r="O36" s="88">
        <v>44</v>
      </c>
      <c r="P36" s="85">
        <f>328-107-9</f>
        <v>212</v>
      </c>
      <c r="Q36" s="88">
        <f>402-107-9</f>
        <v>286</v>
      </c>
      <c r="R36" s="85">
        <f t="shared" si="0"/>
        <v>275</v>
      </c>
      <c r="S36" s="88">
        <f t="shared" si="1"/>
        <v>384</v>
      </c>
    </row>
    <row r="37" spans="2:19" ht="15" customHeight="1">
      <c r="B37" s="97" t="s">
        <v>69</v>
      </c>
      <c r="C37" s="20"/>
      <c r="D37" s="20"/>
      <c r="E37" s="22">
        <v>20</v>
      </c>
      <c r="F37" s="79">
        <v>15</v>
      </c>
      <c r="G37" s="82">
        <v>31</v>
      </c>
      <c r="H37" s="79">
        <v>5</v>
      </c>
      <c r="I37" s="71">
        <v>12</v>
      </c>
      <c r="J37" s="71">
        <v>0</v>
      </c>
      <c r="K37" s="88">
        <v>0</v>
      </c>
      <c r="L37" s="85">
        <v>2</v>
      </c>
      <c r="M37" s="71">
        <v>1</v>
      </c>
      <c r="N37" s="71">
        <v>14</v>
      </c>
      <c r="O37" s="88">
        <v>17</v>
      </c>
      <c r="P37" s="85">
        <f>80-20</f>
        <v>60</v>
      </c>
      <c r="Q37" s="88">
        <f>99-20</f>
        <v>79</v>
      </c>
      <c r="R37" s="85">
        <f t="shared" si="0"/>
        <v>82</v>
      </c>
      <c r="S37" s="88">
        <f t="shared" si="1"/>
        <v>108</v>
      </c>
    </row>
    <row r="38" spans="2:19" ht="15" customHeight="1">
      <c r="B38" s="97" t="s">
        <v>70</v>
      </c>
      <c r="C38" s="20">
        <v>1</v>
      </c>
      <c r="D38" s="20" t="s">
        <v>52</v>
      </c>
      <c r="E38" s="22">
        <v>21</v>
      </c>
      <c r="F38" s="79">
        <v>15</v>
      </c>
      <c r="G38" s="82">
        <v>31</v>
      </c>
      <c r="H38" s="79">
        <v>4</v>
      </c>
      <c r="I38" s="71">
        <v>10</v>
      </c>
      <c r="J38" s="71">
        <v>0</v>
      </c>
      <c r="K38" s="88">
        <v>1</v>
      </c>
      <c r="L38" s="85">
        <v>0</v>
      </c>
      <c r="M38" s="71">
        <v>0</v>
      </c>
      <c r="N38" s="71">
        <v>7</v>
      </c>
      <c r="O38" s="88">
        <v>8</v>
      </c>
      <c r="P38" s="85">
        <v>70</v>
      </c>
      <c r="Q38" s="88">
        <v>98</v>
      </c>
      <c r="R38" s="85">
        <f t="shared" si="0"/>
        <v>82</v>
      </c>
      <c r="S38" s="88">
        <f t="shared" si="1"/>
        <v>117</v>
      </c>
    </row>
    <row r="39" spans="2:19" ht="15" customHeight="1">
      <c r="B39" s="97" t="s">
        <v>71</v>
      </c>
      <c r="C39" s="20">
        <v>1</v>
      </c>
      <c r="D39" s="20" t="s">
        <v>47</v>
      </c>
      <c r="E39" s="21">
        <v>22</v>
      </c>
      <c r="F39" s="79">
        <v>44</v>
      </c>
      <c r="G39" s="82">
        <v>83</v>
      </c>
      <c r="H39" s="79">
        <v>17</v>
      </c>
      <c r="I39" s="71">
        <v>37</v>
      </c>
      <c r="J39" s="71">
        <v>0</v>
      </c>
      <c r="K39" s="88">
        <v>2</v>
      </c>
      <c r="L39" s="85">
        <v>2</v>
      </c>
      <c r="M39" s="71">
        <v>0</v>
      </c>
      <c r="N39" s="71">
        <v>10</v>
      </c>
      <c r="O39" s="88">
        <v>12</v>
      </c>
      <c r="P39" s="85">
        <f>144-31</f>
        <v>113</v>
      </c>
      <c r="Q39" s="88">
        <f>199-31</f>
        <v>168</v>
      </c>
      <c r="R39" s="85">
        <f t="shared" si="0"/>
        <v>142</v>
      </c>
      <c r="S39" s="88">
        <f t="shared" si="1"/>
        <v>219</v>
      </c>
    </row>
    <row r="40" spans="2:19" ht="15" customHeight="1">
      <c r="B40" s="97" t="s">
        <v>72</v>
      </c>
      <c r="C40" s="20"/>
      <c r="D40" s="20"/>
      <c r="E40" s="22">
        <v>23</v>
      </c>
      <c r="F40" s="79">
        <v>24</v>
      </c>
      <c r="G40" s="82">
        <v>45</v>
      </c>
      <c r="H40" s="79">
        <v>7</v>
      </c>
      <c r="I40" s="71">
        <v>16</v>
      </c>
      <c r="J40" s="71">
        <v>0</v>
      </c>
      <c r="K40" s="88">
        <v>0</v>
      </c>
      <c r="L40" s="85">
        <v>0</v>
      </c>
      <c r="M40" s="71">
        <v>3</v>
      </c>
      <c r="N40" s="71">
        <v>8</v>
      </c>
      <c r="O40" s="88">
        <v>11</v>
      </c>
      <c r="P40" s="85">
        <f>214-60</f>
        <v>154</v>
      </c>
      <c r="Q40" s="88">
        <f>247-60</f>
        <v>187</v>
      </c>
      <c r="R40" s="85">
        <f t="shared" si="0"/>
        <v>172</v>
      </c>
      <c r="S40" s="88">
        <f t="shared" si="1"/>
        <v>214</v>
      </c>
    </row>
    <row r="41" spans="2:19" ht="15" customHeight="1">
      <c r="B41" s="97" t="s">
        <v>73</v>
      </c>
      <c r="C41" s="20">
        <v>1</v>
      </c>
      <c r="D41" s="20" t="s">
        <v>47</v>
      </c>
      <c r="E41" s="22">
        <v>24</v>
      </c>
      <c r="F41" s="79">
        <v>13</v>
      </c>
      <c r="G41" s="82">
        <v>26</v>
      </c>
      <c r="H41" s="79">
        <v>6</v>
      </c>
      <c r="I41" s="71">
        <v>12</v>
      </c>
      <c r="J41" s="71">
        <v>0</v>
      </c>
      <c r="K41" s="88">
        <v>0</v>
      </c>
      <c r="L41" s="85">
        <v>0</v>
      </c>
      <c r="M41" s="71">
        <v>0</v>
      </c>
      <c r="N41" s="71">
        <v>0</v>
      </c>
      <c r="O41" s="88">
        <v>0</v>
      </c>
      <c r="P41" s="85">
        <f>44-8</f>
        <v>36</v>
      </c>
      <c r="Q41" s="88">
        <f>56-8</f>
        <v>48</v>
      </c>
      <c r="R41" s="85">
        <f t="shared" si="0"/>
        <v>42</v>
      </c>
      <c r="S41" s="88">
        <f t="shared" si="1"/>
        <v>60</v>
      </c>
    </row>
    <row r="42" spans="2:19" ht="15" customHeight="1">
      <c r="B42" s="97" t="s">
        <v>74</v>
      </c>
      <c r="C42" s="20"/>
      <c r="D42" s="20"/>
      <c r="E42" s="21">
        <v>25</v>
      </c>
      <c r="F42" s="79">
        <v>67</v>
      </c>
      <c r="G42" s="82">
        <v>113</v>
      </c>
      <c r="H42" s="79">
        <v>20</v>
      </c>
      <c r="I42" s="71">
        <v>40</v>
      </c>
      <c r="J42" s="71">
        <v>1</v>
      </c>
      <c r="K42" s="88">
        <v>8</v>
      </c>
      <c r="L42" s="85">
        <v>53</v>
      </c>
      <c r="M42" s="71">
        <v>1</v>
      </c>
      <c r="N42" s="71">
        <v>43</v>
      </c>
      <c r="O42" s="88">
        <v>97</v>
      </c>
      <c r="P42" s="85">
        <f>621-184-16</f>
        <v>421</v>
      </c>
      <c r="Q42" s="88">
        <f>699-184-16</f>
        <v>499</v>
      </c>
      <c r="R42" s="85">
        <f t="shared" si="0"/>
        <v>539</v>
      </c>
      <c r="S42" s="88">
        <f t="shared" si="1"/>
        <v>644</v>
      </c>
    </row>
    <row r="43" spans="2:19" ht="15" customHeight="1">
      <c r="B43" s="97" t="s">
        <v>76</v>
      </c>
      <c r="C43" s="20">
        <v>1</v>
      </c>
      <c r="D43" s="20" t="s">
        <v>75</v>
      </c>
      <c r="E43" s="22">
        <v>26</v>
      </c>
      <c r="F43" s="79">
        <v>25</v>
      </c>
      <c r="G43" s="82">
        <v>47</v>
      </c>
      <c r="H43" s="79">
        <v>7</v>
      </c>
      <c r="I43" s="71">
        <v>17</v>
      </c>
      <c r="J43" s="71">
        <v>0</v>
      </c>
      <c r="K43" s="88">
        <v>0</v>
      </c>
      <c r="L43" s="85">
        <v>14</v>
      </c>
      <c r="M43" s="71">
        <v>0</v>
      </c>
      <c r="N43" s="71">
        <v>39</v>
      </c>
      <c r="O43" s="88">
        <v>54</v>
      </c>
      <c r="P43" s="85">
        <f>199-67-15</f>
        <v>117</v>
      </c>
      <c r="Q43" s="88">
        <f>226-67-15</f>
        <v>144</v>
      </c>
      <c r="R43" s="85">
        <f t="shared" si="0"/>
        <v>178</v>
      </c>
      <c r="S43" s="88">
        <f t="shared" si="1"/>
        <v>215</v>
      </c>
    </row>
    <row r="44" spans="2:19" ht="15" customHeight="1">
      <c r="B44" s="97" t="s">
        <v>77</v>
      </c>
      <c r="C44" s="20"/>
      <c r="D44" s="20"/>
      <c r="E44" s="22">
        <v>27</v>
      </c>
      <c r="F44" s="79">
        <v>121</v>
      </c>
      <c r="G44" s="82">
        <v>214</v>
      </c>
      <c r="H44" s="79">
        <v>34</v>
      </c>
      <c r="I44" s="71">
        <v>78</v>
      </c>
      <c r="J44" s="71">
        <v>3</v>
      </c>
      <c r="K44" s="88">
        <v>12</v>
      </c>
      <c r="L44" s="85">
        <v>6</v>
      </c>
      <c r="M44" s="71"/>
      <c r="N44" s="71">
        <v>62</v>
      </c>
      <c r="O44" s="88">
        <v>68</v>
      </c>
      <c r="P44" s="85">
        <f>353-79-4</f>
        <v>270</v>
      </c>
      <c r="Q44" s="88">
        <f>492-79-4</f>
        <v>409</v>
      </c>
      <c r="R44" s="85">
        <f t="shared" si="0"/>
        <v>375</v>
      </c>
      <c r="S44" s="88">
        <f t="shared" si="1"/>
        <v>567</v>
      </c>
    </row>
    <row r="45" spans="2:19" ht="15" customHeight="1">
      <c r="B45" s="97" t="s">
        <v>78</v>
      </c>
      <c r="C45" s="20"/>
      <c r="D45" s="20"/>
      <c r="E45" s="21">
        <v>28</v>
      </c>
      <c r="F45" s="79">
        <v>125</v>
      </c>
      <c r="G45" s="82">
        <v>239</v>
      </c>
      <c r="H45" s="79">
        <v>38</v>
      </c>
      <c r="I45" s="71">
        <v>94</v>
      </c>
      <c r="J45" s="71">
        <v>1</v>
      </c>
      <c r="K45" s="88">
        <v>4</v>
      </c>
      <c r="L45" s="85">
        <v>15</v>
      </c>
      <c r="M45" s="71">
        <v>0</v>
      </c>
      <c r="N45" s="71">
        <v>39</v>
      </c>
      <c r="O45" s="88">
        <v>54</v>
      </c>
      <c r="P45" s="85">
        <f>577-149-21</f>
        <v>407</v>
      </c>
      <c r="Q45" s="88">
        <f>725-149-21</f>
        <v>555</v>
      </c>
      <c r="R45" s="85">
        <f t="shared" si="0"/>
        <v>500</v>
      </c>
      <c r="S45" s="88">
        <f t="shared" si="1"/>
        <v>707</v>
      </c>
    </row>
    <row r="46" spans="2:19" ht="15" customHeight="1">
      <c r="B46" s="97" t="s">
        <v>79</v>
      </c>
      <c r="C46" s="20">
        <v>1</v>
      </c>
      <c r="D46" s="20" t="s">
        <v>52</v>
      </c>
      <c r="E46" s="22">
        <v>29</v>
      </c>
      <c r="F46" s="79">
        <v>0</v>
      </c>
      <c r="G46" s="82">
        <v>1</v>
      </c>
      <c r="H46" s="79">
        <v>0</v>
      </c>
      <c r="I46" s="71">
        <v>1</v>
      </c>
      <c r="J46" s="71">
        <v>0</v>
      </c>
      <c r="K46" s="88">
        <v>0</v>
      </c>
      <c r="L46" s="85">
        <v>0</v>
      </c>
      <c r="M46" s="71">
        <v>0</v>
      </c>
      <c r="N46" s="71">
        <v>3</v>
      </c>
      <c r="O46" s="88">
        <v>3</v>
      </c>
      <c r="P46" s="85">
        <f>16-3</f>
        <v>13</v>
      </c>
      <c r="Q46" s="88">
        <f>21-3</f>
        <v>18</v>
      </c>
      <c r="R46" s="85">
        <f t="shared" si="0"/>
        <v>16</v>
      </c>
      <c r="S46" s="88">
        <f t="shared" si="1"/>
        <v>22</v>
      </c>
    </row>
    <row r="47" spans="2:19" ht="15" customHeight="1">
      <c r="B47" s="97" t="s">
        <v>80</v>
      </c>
      <c r="C47" s="20">
        <v>1</v>
      </c>
      <c r="D47" s="20" t="s">
        <v>47</v>
      </c>
      <c r="E47" s="22">
        <v>30</v>
      </c>
      <c r="F47" s="79">
        <v>13</v>
      </c>
      <c r="G47" s="82">
        <v>20</v>
      </c>
      <c r="H47" s="79">
        <v>5</v>
      </c>
      <c r="I47" s="71">
        <v>7</v>
      </c>
      <c r="J47" s="71">
        <v>0</v>
      </c>
      <c r="K47" s="88">
        <v>0</v>
      </c>
      <c r="L47" s="85">
        <v>2</v>
      </c>
      <c r="M47" s="71">
        <v>0</v>
      </c>
      <c r="N47" s="71">
        <v>22</v>
      </c>
      <c r="O47" s="88">
        <v>25</v>
      </c>
      <c r="P47" s="85">
        <f>102-34</f>
        <v>68</v>
      </c>
      <c r="Q47" s="88">
        <f>133-34</f>
        <v>99</v>
      </c>
      <c r="R47" s="85">
        <f t="shared" si="0"/>
        <v>98</v>
      </c>
      <c r="S47" s="88">
        <f t="shared" si="1"/>
        <v>131</v>
      </c>
    </row>
    <row r="48" spans="2:19" ht="15" customHeight="1">
      <c r="B48" s="97" t="s">
        <v>81</v>
      </c>
      <c r="C48" s="20">
        <v>1</v>
      </c>
      <c r="D48" s="20" t="s">
        <v>52</v>
      </c>
      <c r="E48" s="21">
        <v>31</v>
      </c>
      <c r="F48" s="79">
        <v>6</v>
      </c>
      <c r="G48" s="82">
        <v>10</v>
      </c>
      <c r="H48" s="79">
        <v>1</v>
      </c>
      <c r="I48" s="71">
        <v>2</v>
      </c>
      <c r="J48" s="71">
        <v>0</v>
      </c>
      <c r="K48" s="88">
        <v>1</v>
      </c>
      <c r="L48" s="85">
        <v>0</v>
      </c>
      <c r="M48" s="71">
        <v>0</v>
      </c>
      <c r="N48" s="71">
        <v>6</v>
      </c>
      <c r="O48" s="88">
        <v>7</v>
      </c>
      <c r="P48" s="85">
        <f>31-6</f>
        <v>25</v>
      </c>
      <c r="Q48" s="88">
        <f>44-6</f>
        <v>38</v>
      </c>
      <c r="R48" s="85">
        <f t="shared" si="0"/>
        <v>33</v>
      </c>
      <c r="S48" s="88">
        <f t="shared" si="1"/>
        <v>48</v>
      </c>
    </row>
    <row r="49" spans="2:19" ht="15" customHeight="1">
      <c r="B49" s="97" t="s">
        <v>82</v>
      </c>
      <c r="C49" s="20"/>
      <c r="D49" s="20"/>
      <c r="E49" s="22">
        <v>32</v>
      </c>
      <c r="F49" s="79">
        <v>76</v>
      </c>
      <c r="G49" s="82">
        <v>148</v>
      </c>
      <c r="H49" s="79">
        <v>28</v>
      </c>
      <c r="I49" s="71">
        <v>55</v>
      </c>
      <c r="J49" s="71">
        <v>1</v>
      </c>
      <c r="K49" s="88">
        <v>5</v>
      </c>
      <c r="L49" s="85">
        <v>2</v>
      </c>
      <c r="M49" s="71">
        <v>0</v>
      </c>
      <c r="N49" s="71">
        <v>35</v>
      </c>
      <c r="O49" s="88">
        <v>38</v>
      </c>
      <c r="P49" s="85">
        <f>286-60-8</f>
        <v>218</v>
      </c>
      <c r="Q49" s="88">
        <f>393-60-8</f>
        <v>325</v>
      </c>
      <c r="R49" s="85">
        <f t="shared" si="0"/>
        <v>285</v>
      </c>
      <c r="S49" s="88">
        <f t="shared" si="1"/>
        <v>423</v>
      </c>
    </row>
    <row r="50" spans="2:19" ht="15" customHeight="1">
      <c r="B50" s="97" t="s">
        <v>83</v>
      </c>
      <c r="C50" s="20"/>
      <c r="D50" s="20"/>
      <c r="E50" s="22">
        <v>33</v>
      </c>
      <c r="F50" s="79">
        <v>77</v>
      </c>
      <c r="G50" s="82">
        <v>147</v>
      </c>
      <c r="H50" s="79">
        <v>28</v>
      </c>
      <c r="I50" s="71">
        <v>62</v>
      </c>
      <c r="J50" s="71">
        <v>0</v>
      </c>
      <c r="K50" s="88">
        <v>0</v>
      </c>
      <c r="L50" s="85">
        <v>19</v>
      </c>
      <c r="M50" s="71">
        <v>0</v>
      </c>
      <c r="N50" s="71">
        <v>27</v>
      </c>
      <c r="O50" s="88">
        <v>47</v>
      </c>
      <c r="P50" s="85">
        <f>654-175-27</f>
        <v>452</v>
      </c>
      <c r="Q50" s="88">
        <f>752-175-27</f>
        <v>550</v>
      </c>
      <c r="R50" s="85">
        <f aca="true" t="shared" si="2" ref="R50:R81">SUM(H50,J50,O50,P50)</f>
        <v>527</v>
      </c>
      <c r="S50" s="88">
        <f aca="true" t="shared" si="3" ref="S50:S81">SUM(I50,K50,O50,Q50)</f>
        <v>659</v>
      </c>
    </row>
    <row r="51" spans="2:19" ht="15" customHeight="1">
      <c r="B51" s="97" t="s">
        <v>84</v>
      </c>
      <c r="C51" s="20" t="s">
        <v>63</v>
      </c>
      <c r="D51" s="20"/>
      <c r="E51" s="21">
        <v>34</v>
      </c>
      <c r="F51" s="79">
        <v>1311</v>
      </c>
      <c r="G51" s="82">
        <v>2389</v>
      </c>
      <c r="H51" s="79">
        <v>435</v>
      </c>
      <c r="I51" s="71">
        <v>971</v>
      </c>
      <c r="J51" s="71">
        <v>19</v>
      </c>
      <c r="K51" s="88">
        <v>76</v>
      </c>
      <c r="L51" s="85">
        <v>190</v>
      </c>
      <c r="M51" s="71">
        <v>1</v>
      </c>
      <c r="N51" s="71">
        <v>413</v>
      </c>
      <c r="O51" s="88">
        <v>605</v>
      </c>
      <c r="P51" s="85">
        <f>4329-1113-126</f>
        <v>3090</v>
      </c>
      <c r="Q51" s="88">
        <f>5673-1114-126</f>
        <v>4433</v>
      </c>
      <c r="R51" s="85">
        <f t="shared" si="2"/>
        <v>4149</v>
      </c>
      <c r="S51" s="88">
        <f t="shared" si="3"/>
        <v>6085</v>
      </c>
    </row>
    <row r="52" spans="2:19" ht="15" customHeight="1">
      <c r="B52" s="97" t="s">
        <v>85</v>
      </c>
      <c r="C52" s="20"/>
      <c r="D52" s="20"/>
      <c r="E52" s="22">
        <v>35</v>
      </c>
      <c r="F52" s="79">
        <v>24</v>
      </c>
      <c r="G52" s="82">
        <v>35</v>
      </c>
      <c r="H52" s="79">
        <v>5</v>
      </c>
      <c r="I52" s="71">
        <v>13</v>
      </c>
      <c r="J52" s="71">
        <v>0</v>
      </c>
      <c r="K52" s="88">
        <v>0</v>
      </c>
      <c r="L52" s="85">
        <v>4</v>
      </c>
      <c r="M52" s="71">
        <v>0</v>
      </c>
      <c r="N52" s="71">
        <v>14</v>
      </c>
      <c r="O52" s="88">
        <v>18</v>
      </c>
      <c r="P52" s="85">
        <f>242-73-16</f>
        <v>153</v>
      </c>
      <c r="Q52" s="88">
        <f>260-73-16</f>
        <v>171</v>
      </c>
      <c r="R52" s="85">
        <f t="shared" si="2"/>
        <v>176</v>
      </c>
      <c r="S52" s="88">
        <f t="shared" si="3"/>
        <v>202</v>
      </c>
    </row>
    <row r="53" spans="2:19" ht="15" customHeight="1">
      <c r="B53" s="97" t="s">
        <v>86</v>
      </c>
      <c r="C53" s="20">
        <v>1</v>
      </c>
      <c r="D53" s="20" t="s">
        <v>75</v>
      </c>
      <c r="E53" s="22">
        <v>36</v>
      </c>
      <c r="F53" s="79">
        <v>37</v>
      </c>
      <c r="G53" s="82">
        <v>66</v>
      </c>
      <c r="H53" s="79">
        <v>12</v>
      </c>
      <c r="I53" s="71">
        <v>26</v>
      </c>
      <c r="J53" s="71">
        <v>0</v>
      </c>
      <c r="K53" s="88">
        <v>2</v>
      </c>
      <c r="L53" s="85">
        <v>7</v>
      </c>
      <c r="M53" s="71">
        <v>0</v>
      </c>
      <c r="N53" s="71">
        <v>46</v>
      </c>
      <c r="O53" s="88">
        <v>53</v>
      </c>
      <c r="P53" s="85">
        <f>170-37-6</f>
        <v>127</v>
      </c>
      <c r="Q53" s="88">
        <f>223-37-6</f>
        <v>180</v>
      </c>
      <c r="R53" s="85">
        <f t="shared" si="2"/>
        <v>192</v>
      </c>
      <c r="S53" s="88">
        <f t="shared" si="3"/>
        <v>261</v>
      </c>
    </row>
    <row r="54" spans="2:19" ht="15" customHeight="1">
      <c r="B54" s="97" t="s">
        <v>87</v>
      </c>
      <c r="C54" s="20"/>
      <c r="D54" s="20"/>
      <c r="E54" s="21">
        <v>37</v>
      </c>
      <c r="F54" s="79">
        <v>318</v>
      </c>
      <c r="G54" s="82">
        <v>697</v>
      </c>
      <c r="H54" s="79">
        <v>130</v>
      </c>
      <c r="I54" s="71">
        <v>327</v>
      </c>
      <c r="J54" s="71">
        <v>7</v>
      </c>
      <c r="K54" s="88">
        <v>31</v>
      </c>
      <c r="L54" s="85">
        <v>20</v>
      </c>
      <c r="M54" s="71">
        <v>0</v>
      </c>
      <c r="N54" s="71">
        <v>47</v>
      </c>
      <c r="O54" s="88">
        <v>68</v>
      </c>
      <c r="P54" s="85">
        <f>849-228-9</f>
        <v>612</v>
      </c>
      <c r="Q54" s="88">
        <f>1105-228-9</f>
        <v>868</v>
      </c>
      <c r="R54" s="85">
        <f t="shared" si="2"/>
        <v>817</v>
      </c>
      <c r="S54" s="88">
        <f t="shared" si="3"/>
        <v>1294</v>
      </c>
    </row>
    <row r="55" spans="2:19" ht="15" customHeight="1">
      <c r="B55" s="97" t="s">
        <v>88</v>
      </c>
      <c r="C55" s="20">
        <v>1</v>
      </c>
      <c r="D55" s="20" t="s">
        <v>75</v>
      </c>
      <c r="E55" s="22">
        <v>38</v>
      </c>
      <c r="F55" s="79">
        <v>15</v>
      </c>
      <c r="G55" s="82">
        <v>32</v>
      </c>
      <c r="H55" s="79">
        <v>9</v>
      </c>
      <c r="I55" s="71">
        <v>16</v>
      </c>
      <c r="J55" s="71">
        <v>0</v>
      </c>
      <c r="K55" s="88">
        <v>0</v>
      </c>
      <c r="L55" s="85">
        <v>0</v>
      </c>
      <c r="M55" s="71">
        <v>0</v>
      </c>
      <c r="N55" s="71">
        <v>13</v>
      </c>
      <c r="O55" s="88">
        <v>13</v>
      </c>
      <c r="P55" s="85">
        <f>191-49</f>
        <v>142</v>
      </c>
      <c r="Q55" s="88">
        <f>218-49</f>
        <v>169</v>
      </c>
      <c r="R55" s="85">
        <f t="shared" si="2"/>
        <v>164</v>
      </c>
      <c r="S55" s="88">
        <f t="shared" si="3"/>
        <v>198</v>
      </c>
    </row>
    <row r="56" spans="2:19" ht="15" customHeight="1">
      <c r="B56" s="97" t="s">
        <v>89</v>
      </c>
      <c r="C56" s="20"/>
      <c r="D56" s="20"/>
      <c r="E56" s="21">
        <v>40</v>
      </c>
      <c r="F56" s="79">
        <v>24</v>
      </c>
      <c r="G56" s="82">
        <v>45</v>
      </c>
      <c r="H56" s="79">
        <v>8</v>
      </c>
      <c r="I56" s="71">
        <v>25</v>
      </c>
      <c r="J56" s="71">
        <v>0</v>
      </c>
      <c r="K56" s="88">
        <v>0</v>
      </c>
      <c r="L56" s="85">
        <v>3</v>
      </c>
      <c r="M56" s="71">
        <v>0</v>
      </c>
      <c r="N56" s="71">
        <v>3</v>
      </c>
      <c r="O56" s="88">
        <v>7</v>
      </c>
      <c r="P56" s="85">
        <f>60-15</f>
        <v>45</v>
      </c>
      <c r="Q56" s="88">
        <f>81-15</f>
        <v>66</v>
      </c>
      <c r="R56" s="85">
        <f t="shared" si="2"/>
        <v>60</v>
      </c>
      <c r="S56" s="88">
        <f t="shared" si="3"/>
        <v>98</v>
      </c>
    </row>
    <row r="57" spans="2:19" ht="15" customHeight="1">
      <c r="B57" s="97" t="s">
        <v>90</v>
      </c>
      <c r="C57" s="20"/>
      <c r="D57" s="20"/>
      <c r="E57" s="22">
        <v>41</v>
      </c>
      <c r="F57" s="79">
        <v>45</v>
      </c>
      <c r="G57" s="82">
        <v>85</v>
      </c>
      <c r="H57" s="79">
        <v>18</v>
      </c>
      <c r="I57" s="71">
        <v>34</v>
      </c>
      <c r="J57" s="71">
        <v>0</v>
      </c>
      <c r="K57" s="88">
        <v>2</v>
      </c>
      <c r="L57" s="85">
        <v>1</v>
      </c>
      <c r="M57" s="71">
        <v>1</v>
      </c>
      <c r="N57" s="71">
        <v>25</v>
      </c>
      <c r="O57" s="88">
        <v>28</v>
      </c>
      <c r="P57" s="85">
        <f>267-63-13</f>
        <v>191</v>
      </c>
      <c r="Q57" s="88">
        <f>341-63-13</f>
        <v>265</v>
      </c>
      <c r="R57" s="85">
        <f t="shared" si="2"/>
        <v>237</v>
      </c>
      <c r="S57" s="88">
        <f t="shared" si="3"/>
        <v>329</v>
      </c>
    </row>
    <row r="58" spans="2:19" ht="15" customHeight="1">
      <c r="B58" s="97" t="s">
        <v>91</v>
      </c>
      <c r="C58" s="20"/>
      <c r="D58" s="20"/>
      <c r="E58" s="22">
        <v>42</v>
      </c>
      <c r="F58" s="79">
        <v>65</v>
      </c>
      <c r="G58" s="82">
        <v>130</v>
      </c>
      <c r="H58" s="79">
        <v>22</v>
      </c>
      <c r="I58" s="71">
        <v>54</v>
      </c>
      <c r="J58" s="71">
        <v>0</v>
      </c>
      <c r="K58" s="88">
        <v>3</v>
      </c>
      <c r="L58" s="85">
        <v>9</v>
      </c>
      <c r="M58" s="71">
        <v>1</v>
      </c>
      <c r="N58" s="71">
        <v>62</v>
      </c>
      <c r="O58" s="88">
        <v>72</v>
      </c>
      <c r="P58" s="85">
        <f>307-77-16</f>
        <v>214</v>
      </c>
      <c r="Q58" s="88">
        <f>408-77-16</f>
        <v>315</v>
      </c>
      <c r="R58" s="85">
        <f t="shared" si="2"/>
        <v>308</v>
      </c>
      <c r="S58" s="88">
        <f t="shared" si="3"/>
        <v>444</v>
      </c>
    </row>
    <row r="59" spans="2:19" ht="15" customHeight="1">
      <c r="B59" s="97" t="s">
        <v>92</v>
      </c>
      <c r="C59" s="20"/>
      <c r="D59" s="20"/>
      <c r="E59" s="21">
        <v>43</v>
      </c>
      <c r="F59" s="79">
        <v>1883</v>
      </c>
      <c r="G59" s="82">
        <v>3833</v>
      </c>
      <c r="H59" s="79">
        <v>801</v>
      </c>
      <c r="I59" s="71">
        <v>1930</v>
      </c>
      <c r="J59" s="71">
        <v>32</v>
      </c>
      <c r="K59" s="88">
        <v>123</v>
      </c>
      <c r="L59" s="85">
        <v>142</v>
      </c>
      <c r="M59" s="71">
        <v>6</v>
      </c>
      <c r="N59" s="71">
        <v>376</v>
      </c>
      <c r="O59" s="88">
        <v>525</v>
      </c>
      <c r="P59" s="85">
        <f>3955-952-88</f>
        <v>2915</v>
      </c>
      <c r="Q59" s="88">
        <f>5413-952-88</f>
        <v>4373</v>
      </c>
      <c r="R59" s="85">
        <f t="shared" si="2"/>
        <v>4273</v>
      </c>
      <c r="S59" s="88">
        <f t="shared" si="3"/>
        <v>6951</v>
      </c>
    </row>
    <row r="60" spans="2:19" ht="15" customHeight="1">
      <c r="B60" s="97" t="s">
        <v>93</v>
      </c>
      <c r="C60" s="20"/>
      <c r="D60" s="20"/>
      <c r="E60" s="22">
        <v>44</v>
      </c>
      <c r="F60" s="79">
        <v>619</v>
      </c>
      <c r="G60" s="82">
        <v>1110</v>
      </c>
      <c r="H60" s="79">
        <v>239</v>
      </c>
      <c r="I60" s="71">
        <v>535</v>
      </c>
      <c r="J60" s="71">
        <v>4</v>
      </c>
      <c r="K60" s="88">
        <v>17</v>
      </c>
      <c r="L60" s="85">
        <v>68</v>
      </c>
      <c r="M60" s="71">
        <v>0</v>
      </c>
      <c r="N60" s="71">
        <v>204</v>
      </c>
      <c r="O60" s="88">
        <v>273</v>
      </c>
      <c r="P60" s="85">
        <f>1359-351-20</f>
        <v>988</v>
      </c>
      <c r="Q60" s="88">
        <f>1706-351-20</f>
        <v>1335</v>
      </c>
      <c r="R60" s="85">
        <f t="shared" si="2"/>
        <v>1504</v>
      </c>
      <c r="S60" s="88">
        <f t="shared" si="3"/>
        <v>2160</v>
      </c>
    </row>
    <row r="61" spans="2:19" ht="15" customHeight="1">
      <c r="B61" s="97" t="s">
        <v>94</v>
      </c>
      <c r="C61" s="20"/>
      <c r="D61" s="20"/>
      <c r="E61" s="22">
        <v>45</v>
      </c>
      <c r="F61" s="79">
        <v>85</v>
      </c>
      <c r="G61" s="82">
        <v>143</v>
      </c>
      <c r="H61" s="79">
        <v>30</v>
      </c>
      <c r="I61" s="71">
        <v>59</v>
      </c>
      <c r="J61" s="71">
        <v>2</v>
      </c>
      <c r="K61" s="88">
        <v>9</v>
      </c>
      <c r="L61" s="85">
        <v>15</v>
      </c>
      <c r="M61" s="71">
        <v>1</v>
      </c>
      <c r="N61" s="71">
        <v>45</v>
      </c>
      <c r="O61" s="88">
        <v>61</v>
      </c>
      <c r="P61" s="85">
        <f>445-131-17</f>
        <v>297</v>
      </c>
      <c r="Q61" s="88">
        <f>569-131-17</f>
        <v>421</v>
      </c>
      <c r="R61" s="85">
        <f t="shared" si="2"/>
        <v>390</v>
      </c>
      <c r="S61" s="88">
        <f t="shared" si="3"/>
        <v>550</v>
      </c>
    </row>
    <row r="62" spans="2:19" ht="15" customHeight="1">
      <c r="B62" s="97" t="s">
        <v>95</v>
      </c>
      <c r="C62" s="20"/>
      <c r="D62" s="20"/>
      <c r="E62" s="22">
        <v>47</v>
      </c>
      <c r="F62" s="79">
        <v>119</v>
      </c>
      <c r="G62" s="82">
        <v>212</v>
      </c>
      <c r="H62" s="79">
        <v>39</v>
      </c>
      <c r="I62" s="71">
        <v>82</v>
      </c>
      <c r="J62" s="71">
        <v>3</v>
      </c>
      <c r="K62" s="88">
        <v>12</v>
      </c>
      <c r="L62" s="85">
        <v>12</v>
      </c>
      <c r="M62" s="71">
        <v>1</v>
      </c>
      <c r="N62" s="71">
        <v>36</v>
      </c>
      <c r="O62" s="88">
        <v>49</v>
      </c>
      <c r="P62" s="85">
        <f>597-162-16</f>
        <v>419</v>
      </c>
      <c r="Q62" s="88">
        <f>703-162-16</f>
        <v>525</v>
      </c>
      <c r="R62" s="85">
        <f t="shared" si="2"/>
        <v>510</v>
      </c>
      <c r="S62" s="88">
        <f t="shared" si="3"/>
        <v>668</v>
      </c>
    </row>
    <row r="63" spans="2:19" ht="15" customHeight="1">
      <c r="B63" s="97" t="s">
        <v>96</v>
      </c>
      <c r="C63" s="20">
        <v>1</v>
      </c>
      <c r="D63" s="20" t="s">
        <v>52</v>
      </c>
      <c r="E63" s="22">
        <v>39</v>
      </c>
      <c r="F63" s="79">
        <v>11</v>
      </c>
      <c r="G63" s="82">
        <v>24</v>
      </c>
      <c r="H63" s="79">
        <v>2</v>
      </c>
      <c r="I63" s="71">
        <v>4</v>
      </c>
      <c r="J63" s="71">
        <v>1</v>
      </c>
      <c r="K63" s="88">
        <v>5</v>
      </c>
      <c r="L63" s="85">
        <v>1</v>
      </c>
      <c r="M63" s="71">
        <v>0</v>
      </c>
      <c r="N63" s="71">
        <v>3</v>
      </c>
      <c r="O63" s="88">
        <v>4</v>
      </c>
      <c r="P63" s="85">
        <f>29-3</f>
        <v>26</v>
      </c>
      <c r="Q63" s="88">
        <f>39-3</f>
        <v>36</v>
      </c>
      <c r="R63" s="85">
        <f t="shared" si="2"/>
        <v>33</v>
      </c>
      <c r="S63" s="88">
        <f t="shared" si="3"/>
        <v>49</v>
      </c>
    </row>
    <row r="64" spans="2:19" ht="15" customHeight="1">
      <c r="B64" s="97" t="s">
        <v>105</v>
      </c>
      <c r="C64" s="20">
        <v>1</v>
      </c>
      <c r="D64" s="20" t="s">
        <v>47</v>
      </c>
      <c r="E64" s="21">
        <v>46</v>
      </c>
      <c r="F64" s="79">
        <v>4</v>
      </c>
      <c r="G64" s="82">
        <v>5</v>
      </c>
      <c r="H64" s="79">
        <v>0</v>
      </c>
      <c r="I64" s="71">
        <v>0</v>
      </c>
      <c r="J64" s="71">
        <v>0</v>
      </c>
      <c r="K64" s="88">
        <v>0</v>
      </c>
      <c r="L64" s="85">
        <v>1</v>
      </c>
      <c r="M64" s="71">
        <v>0</v>
      </c>
      <c r="N64" s="71">
        <v>10</v>
      </c>
      <c r="O64" s="88">
        <v>11</v>
      </c>
      <c r="P64" s="85">
        <f>45-12</f>
        <v>33</v>
      </c>
      <c r="Q64" s="88">
        <f>46-12</f>
        <v>34</v>
      </c>
      <c r="R64" s="85">
        <f t="shared" si="2"/>
        <v>44</v>
      </c>
      <c r="S64" s="88">
        <f t="shared" si="3"/>
        <v>45</v>
      </c>
    </row>
    <row r="65" spans="2:19" ht="15" customHeight="1">
      <c r="B65" s="97" t="s">
        <v>106</v>
      </c>
      <c r="C65" s="20"/>
      <c r="D65" s="20"/>
      <c r="E65" s="22">
        <v>48</v>
      </c>
      <c r="F65" s="79">
        <v>65</v>
      </c>
      <c r="G65" s="82">
        <v>110</v>
      </c>
      <c r="H65" s="79">
        <v>19</v>
      </c>
      <c r="I65" s="71">
        <v>41</v>
      </c>
      <c r="J65" s="71">
        <v>1</v>
      </c>
      <c r="K65" s="88">
        <v>6</v>
      </c>
      <c r="L65" s="85">
        <v>1</v>
      </c>
      <c r="M65" s="71">
        <v>0</v>
      </c>
      <c r="N65" s="71">
        <v>25</v>
      </c>
      <c r="O65" s="88">
        <v>26</v>
      </c>
      <c r="P65" s="85">
        <f>197-52-7</f>
        <v>138</v>
      </c>
      <c r="Q65" s="88">
        <f>264-52-7</f>
        <v>205</v>
      </c>
      <c r="R65" s="85">
        <f t="shared" si="2"/>
        <v>184</v>
      </c>
      <c r="S65" s="88">
        <f t="shared" si="3"/>
        <v>278</v>
      </c>
    </row>
    <row r="66" spans="2:19" ht="15" customHeight="1">
      <c r="B66" s="97" t="s">
        <v>107</v>
      </c>
      <c r="C66" s="20"/>
      <c r="D66" s="20"/>
      <c r="E66" s="21">
        <v>49</v>
      </c>
      <c r="F66" s="79">
        <v>474</v>
      </c>
      <c r="G66" s="82">
        <v>1008</v>
      </c>
      <c r="H66" s="79">
        <v>229</v>
      </c>
      <c r="I66" s="71">
        <v>541</v>
      </c>
      <c r="J66" s="71">
        <v>11</v>
      </c>
      <c r="K66" s="88">
        <v>45</v>
      </c>
      <c r="L66" s="85">
        <v>76</v>
      </c>
      <c r="M66" s="71">
        <v>0</v>
      </c>
      <c r="N66" s="71">
        <v>135</v>
      </c>
      <c r="O66" s="88">
        <v>212</v>
      </c>
      <c r="P66" s="85">
        <f>1638-455-49</f>
        <v>1134</v>
      </c>
      <c r="Q66" s="88">
        <f>2148-455-49</f>
        <v>1644</v>
      </c>
      <c r="R66" s="85">
        <f t="shared" si="2"/>
        <v>1586</v>
      </c>
      <c r="S66" s="88">
        <f t="shared" si="3"/>
        <v>2442</v>
      </c>
    </row>
    <row r="67" spans="2:19" ht="15" customHeight="1">
      <c r="B67" s="97" t="s">
        <v>108</v>
      </c>
      <c r="C67" s="20">
        <v>1</v>
      </c>
      <c r="D67" s="20" t="s">
        <v>75</v>
      </c>
      <c r="E67" s="22">
        <v>50</v>
      </c>
      <c r="F67" s="79">
        <v>23</v>
      </c>
      <c r="G67" s="82">
        <v>52</v>
      </c>
      <c r="H67" s="79">
        <v>7</v>
      </c>
      <c r="I67" s="71">
        <v>22</v>
      </c>
      <c r="J67" s="71">
        <v>0</v>
      </c>
      <c r="K67" s="88">
        <v>3</v>
      </c>
      <c r="L67" s="85">
        <v>18</v>
      </c>
      <c r="M67" s="71">
        <v>0</v>
      </c>
      <c r="N67" s="71">
        <v>65</v>
      </c>
      <c r="O67" s="88">
        <v>83</v>
      </c>
      <c r="P67" s="85">
        <f>129-59-9</f>
        <v>61</v>
      </c>
      <c r="Q67" s="88">
        <f>173-59-9</f>
        <v>105</v>
      </c>
      <c r="R67" s="85">
        <f t="shared" si="2"/>
        <v>151</v>
      </c>
      <c r="S67" s="88">
        <f t="shared" si="3"/>
        <v>213</v>
      </c>
    </row>
    <row r="68" spans="2:19" ht="15" customHeight="1">
      <c r="B68" s="97" t="s">
        <v>109</v>
      </c>
      <c r="C68" s="20" t="s">
        <v>63</v>
      </c>
      <c r="D68" s="20"/>
      <c r="E68" s="22">
        <v>51</v>
      </c>
      <c r="F68" s="79">
        <v>191</v>
      </c>
      <c r="G68" s="82">
        <v>317</v>
      </c>
      <c r="H68" s="79">
        <v>63</v>
      </c>
      <c r="I68" s="71">
        <v>142</v>
      </c>
      <c r="J68" s="71">
        <v>2</v>
      </c>
      <c r="K68" s="88">
        <v>11</v>
      </c>
      <c r="L68" s="85">
        <v>22</v>
      </c>
      <c r="M68" s="71">
        <v>0</v>
      </c>
      <c r="N68" s="71">
        <v>79</v>
      </c>
      <c r="O68" s="88">
        <v>101</v>
      </c>
      <c r="P68" s="85">
        <f>1506-389-65</f>
        <v>1052</v>
      </c>
      <c r="Q68" s="88">
        <f>1666-389-65</f>
        <v>1212</v>
      </c>
      <c r="R68" s="85">
        <f t="shared" si="2"/>
        <v>1218</v>
      </c>
      <c r="S68" s="88">
        <f t="shared" si="3"/>
        <v>1466</v>
      </c>
    </row>
    <row r="69" spans="2:19" ht="15" customHeight="1">
      <c r="B69" s="97" t="s">
        <v>110</v>
      </c>
      <c r="C69" s="20"/>
      <c r="D69" s="20"/>
      <c r="E69" s="21">
        <v>52</v>
      </c>
      <c r="F69" s="79">
        <v>158</v>
      </c>
      <c r="G69" s="82">
        <v>253</v>
      </c>
      <c r="H69" s="79">
        <v>34</v>
      </c>
      <c r="I69" s="71">
        <v>78</v>
      </c>
      <c r="J69" s="71">
        <v>0</v>
      </c>
      <c r="K69" s="88">
        <v>0</v>
      </c>
      <c r="L69" s="85">
        <v>23</v>
      </c>
      <c r="M69" s="71">
        <v>2</v>
      </c>
      <c r="N69" s="71">
        <v>115</v>
      </c>
      <c r="O69" s="88">
        <v>141</v>
      </c>
      <c r="P69" s="85">
        <f>689-235-22</f>
        <v>432</v>
      </c>
      <c r="Q69" s="88">
        <f>779-235-22</f>
        <v>522</v>
      </c>
      <c r="R69" s="85">
        <f t="shared" si="2"/>
        <v>607</v>
      </c>
      <c r="S69" s="88">
        <f t="shared" si="3"/>
        <v>741</v>
      </c>
    </row>
    <row r="70" spans="2:19" ht="15" customHeight="1">
      <c r="B70" s="97" t="s">
        <v>111</v>
      </c>
      <c r="C70" s="20">
        <v>1</v>
      </c>
      <c r="D70" s="20" t="s">
        <v>47</v>
      </c>
      <c r="E70" s="22">
        <v>53</v>
      </c>
      <c r="F70" s="79">
        <v>5</v>
      </c>
      <c r="G70" s="82">
        <v>12</v>
      </c>
      <c r="H70" s="79">
        <v>4</v>
      </c>
      <c r="I70" s="71">
        <v>12</v>
      </c>
      <c r="J70" s="71">
        <v>0</v>
      </c>
      <c r="K70" s="88">
        <v>0</v>
      </c>
      <c r="L70" s="85">
        <v>0</v>
      </c>
      <c r="M70" s="71">
        <v>0</v>
      </c>
      <c r="N70" s="71">
        <v>0</v>
      </c>
      <c r="O70" s="88">
        <v>0</v>
      </c>
      <c r="P70" s="85">
        <f>44-7</f>
        <v>37</v>
      </c>
      <c r="Q70" s="88">
        <f>51-7</f>
        <v>44</v>
      </c>
      <c r="R70" s="85">
        <f t="shared" si="2"/>
        <v>41</v>
      </c>
      <c r="S70" s="88">
        <f t="shared" si="3"/>
        <v>56</v>
      </c>
    </row>
    <row r="71" spans="2:19" ht="15" customHeight="1">
      <c r="B71" s="97" t="s">
        <v>112</v>
      </c>
      <c r="C71" s="20"/>
      <c r="D71" s="20"/>
      <c r="E71" s="22">
        <v>54</v>
      </c>
      <c r="F71" s="79">
        <v>148</v>
      </c>
      <c r="G71" s="82">
        <v>283</v>
      </c>
      <c r="H71" s="79">
        <v>39</v>
      </c>
      <c r="I71" s="71">
        <v>81</v>
      </c>
      <c r="J71" s="71">
        <v>4</v>
      </c>
      <c r="K71" s="88">
        <v>22</v>
      </c>
      <c r="L71" s="85">
        <v>31</v>
      </c>
      <c r="M71" s="71">
        <v>2</v>
      </c>
      <c r="N71" s="71">
        <v>45</v>
      </c>
      <c r="O71" s="88">
        <v>78</v>
      </c>
      <c r="P71" s="85">
        <f>660-195-26</f>
        <v>439</v>
      </c>
      <c r="Q71" s="88">
        <f>825-195-26</f>
        <v>604</v>
      </c>
      <c r="R71" s="85">
        <f t="shared" si="2"/>
        <v>560</v>
      </c>
      <c r="S71" s="88">
        <f t="shared" si="3"/>
        <v>785</v>
      </c>
    </row>
    <row r="72" spans="2:19" ht="15" customHeight="1">
      <c r="B72" s="97" t="s">
        <v>113</v>
      </c>
      <c r="C72" s="20">
        <v>1</v>
      </c>
      <c r="D72" s="20" t="s">
        <v>52</v>
      </c>
      <c r="E72" s="21">
        <v>55</v>
      </c>
      <c r="F72" s="79">
        <v>12</v>
      </c>
      <c r="G72" s="82">
        <v>15</v>
      </c>
      <c r="H72" s="79">
        <v>2</v>
      </c>
      <c r="I72" s="71">
        <v>3</v>
      </c>
      <c r="J72" s="71">
        <v>0</v>
      </c>
      <c r="K72" s="88">
        <v>0</v>
      </c>
      <c r="L72" s="85">
        <v>2</v>
      </c>
      <c r="M72" s="71">
        <v>0</v>
      </c>
      <c r="N72" s="71">
        <v>6</v>
      </c>
      <c r="O72" s="88">
        <v>8</v>
      </c>
      <c r="P72" s="85">
        <f>35-9</f>
        <v>26</v>
      </c>
      <c r="Q72" s="88">
        <f>55-9</f>
        <v>46</v>
      </c>
      <c r="R72" s="85">
        <f t="shared" si="2"/>
        <v>36</v>
      </c>
      <c r="S72" s="88">
        <f t="shared" si="3"/>
        <v>57</v>
      </c>
    </row>
    <row r="73" spans="2:19" ht="15" customHeight="1">
      <c r="B73" s="97" t="s">
        <v>114</v>
      </c>
      <c r="C73" s="20"/>
      <c r="D73" s="20"/>
      <c r="E73" s="22">
        <v>56</v>
      </c>
      <c r="F73" s="79">
        <v>32</v>
      </c>
      <c r="G73" s="82">
        <v>62</v>
      </c>
      <c r="H73" s="79">
        <v>7</v>
      </c>
      <c r="I73" s="71">
        <v>14</v>
      </c>
      <c r="J73" s="71">
        <v>0</v>
      </c>
      <c r="K73" s="88">
        <v>0</v>
      </c>
      <c r="L73" s="85">
        <v>0</v>
      </c>
      <c r="M73" s="71">
        <v>0</v>
      </c>
      <c r="N73" s="71">
        <v>9</v>
      </c>
      <c r="O73" s="88">
        <v>9</v>
      </c>
      <c r="P73" s="85">
        <f>231-57-12</f>
        <v>162</v>
      </c>
      <c r="Q73" s="88">
        <f>292-57-12</f>
        <v>223</v>
      </c>
      <c r="R73" s="85">
        <f t="shared" si="2"/>
        <v>178</v>
      </c>
      <c r="S73" s="88">
        <f t="shared" si="3"/>
        <v>246</v>
      </c>
    </row>
    <row r="74" spans="2:19" ht="15" customHeight="1">
      <c r="B74" s="97" t="s">
        <v>115</v>
      </c>
      <c r="C74" s="20" t="s">
        <v>63</v>
      </c>
      <c r="D74" s="20"/>
      <c r="E74" s="22">
        <v>57</v>
      </c>
      <c r="F74" s="79">
        <v>228</v>
      </c>
      <c r="G74" s="82">
        <v>377</v>
      </c>
      <c r="H74" s="79">
        <v>60</v>
      </c>
      <c r="I74" s="71">
        <v>127</v>
      </c>
      <c r="J74" s="71">
        <v>3</v>
      </c>
      <c r="K74" s="88">
        <v>13</v>
      </c>
      <c r="L74" s="85">
        <v>81</v>
      </c>
      <c r="M74" s="71">
        <v>0</v>
      </c>
      <c r="N74" s="71">
        <v>86</v>
      </c>
      <c r="O74" s="88">
        <v>168</v>
      </c>
      <c r="P74" s="85">
        <f>1296-357-72</f>
        <v>867</v>
      </c>
      <c r="Q74" s="88">
        <f>1508-357-72</f>
        <v>1079</v>
      </c>
      <c r="R74" s="85">
        <f t="shared" si="2"/>
        <v>1098</v>
      </c>
      <c r="S74" s="88">
        <f t="shared" si="3"/>
        <v>1387</v>
      </c>
    </row>
    <row r="75" spans="2:19" ht="15" customHeight="1">
      <c r="B75" s="97" t="s">
        <v>116</v>
      </c>
      <c r="C75" s="20"/>
      <c r="D75" s="20"/>
      <c r="E75" s="21">
        <v>58</v>
      </c>
      <c r="F75" s="79">
        <v>180</v>
      </c>
      <c r="G75" s="82">
        <v>348</v>
      </c>
      <c r="H75" s="79">
        <v>63</v>
      </c>
      <c r="I75" s="71">
        <v>136</v>
      </c>
      <c r="J75" s="71">
        <v>4</v>
      </c>
      <c r="K75" s="88">
        <v>21</v>
      </c>
      <c r="L75" s="85">
        <v>14</v>
      </c>
      <c r="M75" s="71">
        <v>2</v>
      </c>
      <c r="N75" s="71">
        <v>45</v>
      </c>
      <c r="O75" s="88">
        <v>61</v>
      </c>
      <c r="P75" s="85">
        <f>553-147-19</f>
        <v>387</v>
      </c>
      <c r="Q75" s="88">
        <f>732-147-19</f>
        <v>566</v>
      </c>
      <c r="R75" s="85">
        <f t="shared" si="2"/>
        <v>515</v>
      </c>
      <c r="S75" s="88">
        <f t="shared" si="3"/>
        <v>784</v>
      </c>
    </row>
    <row r="76" spans="2:19" ht="15" customHeight="1">
      <c r="B76" s="97" t="s">
        <v>117</v>
      </c>
      <c r="C76" s="20"/>
      <c r="D76" s="20"/>
      <c r="E76" s="22">
        <v>59</v>
      </c>
      <c r="F76" s="79">
        <v>637</v>
      </c>
      <c r="G76" s="82">
        <v>1326</v>
      </c>
      <c r="H76" s="79">
        <v>268</v>
      </c>
      <c r="I76" s="71">
        <v>620</v>
      </c>
      <c r="J76" s="71">
        <v>20</v>
      </c>
      <c r="K76" s="88">
        <v>73</v>
      </c>
      <c r="L76" s="85">
        <v>66</v>
      </c>
      <c r="M76" s="71">
        <v>1</v>
      </c>
      <c r="N76" s="71">
        <v>135</v>
      </c>
      <c r="O76" s="88">
        <v>202</v>
      </c>
      <c r="P76" s="85">
        <f>1638-406-58</f>
        <v>1174</v>
      </c>
      <c r="Q76" s="88">
        <f>2193-406-58</f>
        <v>1729</v>
      </c>
      <c r="R76" s="85">
        <f t="shared" si="2"/>
        <v>1664</v>
      </c>
      <c r="S76" s="88">
        <f t="shared" si="3"/>
        <v>2624</v>
      </c>
    </row>
    <row r="77" spans="2:19" ht="15" customHeight="1">
      <c r="B77" s="97" t="s">
        <v>118</v>
      </c>
      <c r="C77" s="20"/>
      <c r="D77" s="20"/>
      <c r="E77" s="22">
        <v>60</v>
      </c>
      <c r="F77" s="79">
        <v>94</v>
      </c>
      <c r="G77" s="82">
        <v>167</v>
      </c>
      <c r="H77" s="79">
        <v>27</v>
      </c>
      <c r="I77" s="71">
        <v>72</v>
      </c>
      <c r="J77" s="71">
        <v>0</v>
      </c>
      <c r="K77" s="88">
        <v>3</v>
      </c>
      <c r="L77" s="85">
        <v>21</v>
      </c>
      <c r="M77" s="71">
        <v>0</v>
      </c>
      <c r="N77" s="71">
        <v>33</v>
      </c>
      <c r="O77" s="88">
        <v>55</v>
      </c>
      <c r="P77" s="85">
        <f>486-140-26</f>
        <v>320</v>
      </c>
      <c r="Q77" s="88">
        <f>573-140-26</f>
        <v>407</v>
      </c>
      <c r="R77" s="85">
        <f t="shared" si="2"/>
        <v>402</v>
      </c>
      <c r="S77" s="88">
        <f t="shared" si="3"/>
        <v>537</v>
      </c>
    </row>
    <row r="78" spans="2:19" ht="15" customHeight="1">
      <c r="B78" s="97" t="s">
        <v>119</v>
      </c>
      <c r="C78" s="20"/>
      <c r="D78" s="20"/>
      <c r="E78" s="21">
        <v>61</v>
      </c>
      <c r="F78" s="79">
        <v>29</v>
      </c>
      <c r="G78" s="82">
        <v>59</v>
      </c>
      <c r="H78" s="79">
        <v>14</v>
      </c>
      <c r="I78" s="71">
        <v>28</v>
      </c>
      <c r="J78" s="71">
        <v>0</v>
      </c>
      <c r="K78" s="88">
        <v>1</v>
      </c>
      <c r="L78" s="85">
        <v>9</v>
      </c>
      <c r="M78" s="71">
        <v>0</v>
      </c>
      <c r="N78" s="71">
        <v>17</v>
      </c>
      <c r="O78" s="88">
        <v>27</v>
      </c>
      <c r="P78" s="85">
        <f>113-34</f>
        <v>79</v>
      </c>
      <c r="Q78" s="88">
        <f>152-34</f>
        <v>118</v>
      </c>
      <c r="R78" s="85">
        <f t="shared" si="2"/>
        <v>120</v>
      </c>
      <c r="S78" s="88">
        <f t="shared" si="3"/>
        <v>174</v>
      </c>
    </row>
    <row r="79" spans="2:19" ht="15" customHeight="1">
      <c r="B79" s="97" t="s">
        <v>120</v>
      </c>
      <c r="C79" s="20" t="s">
        <v>63</v>
      </c>
      <c r="D79" s="20"/>
      <c r="E79" s="22">
        <v>62</v>
      </c>
      <c r="F79" s="79">
        <v>875</v>
      </c>
      <c r="G79" s="82">
        <v>1784</v>
      </c>
      <c r="H79" s="79">
        <v>387</v>
      </c>
      <c r="I79" s="71">
        <v>911</v>
      </c>
      <c r="J79" s="71">
        <v>9</v>
      </c>
      <c r="K79" s="88">
        <v>37</v>
      </c>
      <c r="L79" s="85">
        <v>110</v>
      </c>
      <c r="M79" s="71">
        <v>2</v>
      </c>
      <c r="N79" s="71">
        <v>265</v>
      </c>
      <c r="O79" s="88">
        <v>377</v>
      </c>
      <c r="P79" s="85">
        <f>2532-629-39</f>
        <v>1864</v>
      </c>
      <c r="Q79" s="88">
        <f>3069-629-39</f>
        <v>2401</v>
      </c>
      <c r="R79" s="85">
        <f t="shared" si="2"/>
        <v>2637</v>
      </c>
      <c r="S79" s="88">
        <f t="shared" si="3"/>
        <v>3726</v>
      </c>
    </row>
    <row r="80" spans="2:19" ht="15" customHeight="1">
      <c r="B80" s="97" t="s">
        <v>121</v>
      </c>
      <c r="C80" s="20">
        <v>1</v>
      </c>
      <c r="D80" s="20" t="s">
        <v>47</v>
      </c>
      <c r="E80" s="22">
        <v>63</v>
      </c>
      <c r="F80" s="79">
        <v>6</v>
      </c>
      <c r="G80" s="82">
        <v>14</v>
      </c>
      <c r="H80" s="79">
        <v>4</v>
      </c>
      <c r="I80" s="71">
        <v>10</v>
      </c>
      <c r="J80" s="71">
        <v>0</v>
      </c>
      <c r="K80" s="88">
        <v>0</v>
      </c>
      <c r="L80" s="85">
        <v>0</v>
      </c>
      <c r="M80" s="71">
        <v>0</v>
      </c>
      <c r="N80" s="71">
        <v>5</v>
      </c>
      <c r="O80" s="88">
        <v>5</v>
      </c>
      <c r="P80" s="85">
        <f>53-10</f>
        <v>43</v>
      </c>
      <c r="Q80" s="88">
        <f>76-10</f>
        <v>66</v>
      </c>
      <c r="R80" s="85">
        <f t="shared" si="2"/>
        <v>52</v>
      </c>
      <c r="S80" s="88">
        <f t="shared" si="3"/>
        <v>81</v>
      </c>
    </row>
    <row r="81" spans="2:19" ht="15" customHeight="1">
      <c r="B81" s="97" t="s">
        <v>122</v>
      </c>
      <c r="C81" s="20" t="s">
        <v>63</v>
      </c>
      <c r="D81" s="20"/>
      <c r="E81" s="21">
        <v>64</v>
      </c>
      <c r="F81" s="79">
        <v>16522</v>
      </c>
      <c r="G81" s="82">
        <v>34013</v>
      </c>
      <c r="H81" s="79">
        <v>6318</v>
      </c>
      <c r="I81" s="71">
        <v>16516</v>
      </c>
      <c r="J81" s="71">
        <v>250</v>
      </c>
      <c r="K81" s="88">
        <v>1012</v>
      </c>
      <c r="L81" s="85">
        <v>1041</v>
      </c>
      <c r="M81" s="71">
        <v>19</v>
      </c>
      <c r="N81" s="71">
        <v>2603</v>
      </c>
      <c r="O81" s="88">
        <v>3664</v>
      </c>
      <c r="P81" s="85">
        <f>17809-3594-140</f>
        <v>14075</v>
      </c>
      <c r="Q81" s="88">
        <f>26717-3594-140</f>
        <v>22983</v>
      </c>
      <c r="R81" s="85">
        <f t="shared" si="2"/>
        <v>24307</v>
      </c>
      <c r="S81" s="88">
        <f t="shared" si="3"/>
        <v>44175</v>
      </c>
    </row>
    <row r="82" spans="2:19" ht="15" customHeight="1">
      <c r="B82" s="97" t="s">
        <v>123</v>
      </c>
      <c r="C82" s="20">
        <v>1</v>
      </c>
      <c r="D82" s="20" t="s">
        <v>52</v>
      </c>
      <c r="E82" s="22">
        <v>65</v>
      </c>
      <c r="F82" s="79">
        <v>2</v>
      </c>
      <c r="G82" s="82">
        <v>6</v>
      </c>
      <c r="H82" s="79">
        <v>2</v>
      </c>
      <c r="I82" s="71">
        <v>4</v>
      </c>
      <c r="J82" s="71">
        <v>0</v>
      </c>
      <c r="K82" s="88">
        <v>0</v>
      </c>
      <c r="L82" s="85">
        <v>1</v>
      </c>
      <c r="M82" s="71">
        <v>0</v>
      </c>
      <c r="N82" s="71">
        <v>9</v>
      </c>
      <c r="O82" s="88">
        <v>10</v>
      </c>
      <c r="P82" s="85">
        <f>23-10</f>
        <v>13</v>
      </c>
      <c r="Q82" s="88">
        <f>28-10</f>
        <v>18</v>
      </c>
      <c r="R82" s="85">
        <f aca="true" t="shared" si="4" ref="R82:R113">SUM(H82,J82,O82,P82)</f>
        <v>25</v>
      </c>
      <c r="S82" s="88">
        <f aca="true" t="shared" si="5" ref="S82:S113">SUM(I82,K82,O82,Q82)</f>
        <v>32</v>
      </c>
    </row>
    <row r="83" spans="2:19" ht="15" customHeight="1">
      <c r="B83" s="97" t="s">
        <v>124</v>
      </c>
      <c r="C83" s="20">
        <v>1</v>
      </c>
      <c r="D83" s="20" t="s">
        <v>52</v>
      </c>
      <c r="E83" s="22">
        <v>66</v>
      </c>
      <c r="F83" s="79">
        <v>14</v>
      </c>
      <c r="G83" s="82">
        <v>32</v>
      </c>
      <c r="H83" s="79">
        <v>8</v>
      </c>
      <c r="I83" s="71">
        <v>19</v>
      </c>
      <c r="J83" s="71">
        <v>1</v>
      </c>
      <c r="K83" s="88">
        <v>4</v>
      </c>
      <c r="L83" s="85">
        <v>4</v>
      </c>
      <c r="M83" s="71">
        <v>0</v>
      </c>
      <c r="N83" s="71">
        <v>20</v>
      </c>
      <c r="O83" s="88">
        <v>24</v>
      </c>
      <c r="P83" s="85">
        <f>74-21-10</f>
        <v>43</v>
      </c>
      <c r="Q83" s="88">
        <f>104-21-10</f>
        <v>73</v>
      </c>
      <c r="R83" s="85">
        <f t="shared" si="4"/>
        <v>76</v>
      </c>
      <c r="S83" s="88">
        <f t="shared" si="5"/>
        <v>120</v>
      </c>
    </row>
    <row r="84" spans="2:19" ht="15" customHeight="1">
      <c r="B84" s="97" t="s">
        <v>125</v>
      </c>
      <c r="C84" s="20"/>
      <c r="D84" s="20"/>
      <c r="E84" s="21">
        <v>67</v>
      </c>
      <c r="F84" s="79">
        <v>26</v>
      </c>
      <c r="G84" s="82">
        <v>52</v>
      </c>
      <c r="H84" s="79">
        <v>8</v>
      </c>
      <c r="I84" s="71">
        <v>17</v>
      </c>
      <c r="J84" s="71">
        <v>0</v>
      </c>
      <c r="K84" s="88">
        <v>1</v>
      </c>
      <c r="L84" s="85">
        <v>4</v>
      </c>
      <c r="M84" s="71">
        <v>0</v>
      </c>
      <c r="N84" s="71">
        <v>22</v>
      </c>
      <c r="O84" s="88">
        <v>26</v>
      </c>
      <c r="P84" s="85">
        <f>112-28</f>
        <v>84</v>
      </c>
      <c r="Q84" s="88">
        <f>159-28</f>
        <v>131</v>
      </c>
      <c r="R84" s="85">
        <f t="shared" si="4"/>
        <v>118</v>
      </c>
      <c r="S84" s="88">
        <f t="shared" si="5"/>
        <v>175</v>
      </c>
    </row>
    <row r="85" spans="2:19" ht="15" customHeight="1">
      <c r="B85" s="97" t="s">
        <v>126</v>
      </c>
      <c r="C85" s="20">
        <v>1</v>
      </c>
      <c r="D85" s="20" t="s">
        <v>52</v>
      </c>
      <c r="E85" s="22">
        <v>68</v>
      </c>
      <c r="F85" s="79">
        <v>12</v>
      </c>
      <c r="G85" s="82">
        <v>21</v>
      </c>
      <c r="H85" s="79">
        <v>1</v>
      </c>
      <c r="I85" s="71">
        <v>5</v>
      </c>
      <c r="J85" s="71">
        <v>0</v>
      </c>
      <c r="K85" s="88">
        <v>0</v>
      </c>
      <c r="L85" s="85">
        <v>5</v>
      </c>
      <c r="M85" s="71">
        <v>0</v>
      </c>
      <c r="N85" s="71">
        <v>5</v>
      </c>
      <c r="O85" s="88">
        <v>10</v>
      </c>
      <c r="P85" s="85">
        <f>124-39</f>
        <v>85</v>
      </c>
      <c r="Q85" s="88">
        <f>149-39</f>
        <v>110</v>
      </c>
      <c r="R85" s="85">
        <f t="shared" si="4"/>
        <v>96</v>
      </c>
      <c r="S85" s="88">
        <f t="shared" si="5"/>
        <v>125</v>
      </c>
    </row>
    <row r="86" spans="2:19" ht="15" customHeight="1">
      <c r="B86" s="97" t="s">
        <v>127</v>
      </c>
      <c r="C86" s="20"/>
      <c r="D86" s="20"/>
      <c r="E86" s="22">
        <v>69</v>
      </c>
      <c r="F86" s="79">
        <v>573</v>
      </c>
      <c r="G86" s="82">
        <v>1197</v>
      </c>
      <c r="H86" s="79">
        <v>184</v>
      </c>
      <c r="I86" s="71">
        <v>453</v>
      </c>
      <c r="J86" s="71">
        <v>23</v>
      </c>
      <c r="K86" s="88">
        <v>95</v>
      </c>
      <c r="L86" s="85">
        <v>30</v>
      </c>
      <c r="M86" s="71">
        <v>0</v>
      </c>
      <c r="N86" s="71">
        <v>146</v>
      </c>
      <c r="O86" s="88">
        <v>176</v>
      </c>
      <c r="P86" s="85">
        <f>1599-435-56</f>
        <v>1108</v>
      </c>
      <c r="Q86" s="88">
        <f>2152-435-56</f>
        <v>1661</v>
      </c>
      <c r="R86" s="85">
        <f t="shared" si="4"/>
        <v>1491</v>
      </c>
      <c r="S86" s="88">
        <f t="shared" si="5"/>
        <v>2385</v>
      </c>
    </row>
    <row r="87" spans="2:19" ht="15" customHeight="1">
      <c r="B87" s="97" t="s">
        <v>128</v>
      </c>
      <c r="C87" s="20">
        <v>1</v>
      </c>
      <c r="D87" s="20" t="s">
        <v>75</v>
      </c>
      <c r="E87" s="21">
        <v>70</v>
      </c>
      <c r="F87" s="79">
        <v>12</v>
      </c>
      <c r="G87" s="82">
        <v>22</v>
      </c>
      <c r="H87" s="79">
        <v>5</v>
      </c>
      <c r="I87" s="71">
        <v>11</v>
      </c>
      <c r="J87" s="71">
        <v>0</v>
      </c>
      <c r="K87" s="88">
        <v>0</v>
      </c>
      <c r="L87" s="85">
        <v>2</v>
      </c>
      <c r="M87" s="71">
        <v>0</v>
      </c>
      <c r="N87" s="71">
        <v>3</v>
      </c>
      <c r="O87" s="88">
        <v>5</v>
      </c>
      <c r="P87" s="85">
        <f>54-7-6</f>
        <v>41</v>
      </c>
      <c r="Q87" s="88">
        <f>71-7-6</f>
        <v>58</v>
      </c>
      <c r="R87" s="85">
        <f t="shared" si="4"/>
        <v>51</v>
      </c>
      <c r="S87" s="88">
        <f t="shared" si="5"/>
        <v>74</v>
      </c>
    </row>
    <row r="88" spans="2:19" ht="15" customHeight="1">
      <c r="B88" s="97" t="s">
        <v>129</v>
      </c>
      <c r="C88" s="20">
        <v>1</v>
      </c>
      <c r="D88" s="20" t="s">
        <v>47</v>
      </c>
      <c r="E88" s="22">
        <v>71</v>
      </c>
      <c r="F88" s="79">
        <v>39</v>
      </c>
      <c r="G88" s="82">
        <v>73</v>
      </c>
      <c r="H88" s="79">
        <v>17</v>
      </c>
      <c r="I88" s="71">
        <v>39</v>
      </c>
      <c r="J88" s="71">
        <v>0</v>
      </c>
      <c r="K88" s="88">
        <v>2</v>
      </c>
      <c r="L88" s="85">
        <v>8</v>
      </c>
      <c r="M88" s="71">
        <v>3</v>
      </c>
      <c r="N88" s="71">
        <v>28</v>
      </c>
      <c r="O88" s="88">
        <v>39</v>
      </c>
      <c r="P88" s="85">
        <f>170-50</f>
        <v>120</v>
      </c>
      <c r="Q88" s="88">
        <f>248-50</f>
        <v>198</v>
      </c>
      <c r="R88" s="85">
        <f t="shared" si="4"/>
        <v>176</v>
      </c>
      <c r="S88" s="88">
        <f t="shared" si="5"/>
        <v>278</v>
      </c>
    </row>
    <row r="89" spans="2:19" ht="15" customHeight="1">
      <c r="B89" s="97" t="s">
        <v>130</v>
      </c>
      <c r="C89" s="20"/>
      <c r="D89" s="20"/>
      <c r="E89" s="22">
        <v>72</v>
      </c>
      <c r="F89" s="79">
        <v>77</v>
      </c>
      <c r="G89" s="82">
        <v>162</v>
      </c>
      <c r="H89" s="79">
        <v>32</v>
      </c>
      <c r="I89" s="71">
        <v>72</v>
      </c>
      <c r="J89" s="71">
        <v>3</v>
      </c>
      <c r="K89" s="88">
        <v>11</v>
      </c>
      <c r="L89" s="85">
        <v>5</v>
      </c>
      <c r="M89" s="71">
        <v>0</v>
      </c>
      <c r="N89" s="71">
        <v>44</v>
      </c>
      <c r="O89" s="88">
        <v>49</v>
      </c>
      <c r="P89" s="85">
        <f>270-59-6</f>
        <v>205</v>
      </c>
      <c r="Q89" s="88">
        <f>375-59-6</f>
        <v>310</v>
      </c>
      <c r="R89" s="85">
        <f t="shared" si="4"/>
        <v>289</v>
      </c>
      <c r="S89" s="88">
        <f t="shared" si="5"/>
        <v>442</v>
      </c>
    </row>
    <row r="90" spans="2:19" ht="15" customHeight="1">
      <c r="B90" s="97" t="s">
        <v>131</v>
      </c>
      <c r="C90" s="20">
        <v>1</v>
      </c>
      <c r="D90" s="20" t="s">
        <v>47</v>
      </c>
      <c r="E90" s="21">
        <v>73</v>
      </c>
      <c r="F90" s="79">
        <v>31</v>
      </c>
      <c r="G90" s="82">
        <v>65</v>
      </c>
      <c r="H90" s="79">
        <v>12</v>
      </c>
      <c r="I90" s="71">
        <v>25</v>
      </c>
      <c r="J90" s="71">
        <v>2</v>
      </c>
      <c r="K90" s="88">
        <v>10</v>
      </c>
      <c r="L90" s="85">
        <v>2</v>
      </c>
      <c r="M90" s="71">
        <v>0</v>
      </c>
      <c r="N90" s="71">
        <v>11</v>
      </c>
      <c r="O90" s="88">
        <v>14</v>
      </c>
      <c r="P90" s="85">
        <f>97-19-2</f>
        <v>76</v>
      </c>
      <c r="Q90" s="88">
        <f>134-19-2</f>
        <v>113</v>
      </c>
      <c r="R90" s="85">
        <f t="shared" si="4"/>
        <v>104</v>
      </c>
      <c r="S90" s="88">
        <f t="shared" si="5"/>
        <v>162</v>
      </c>
    </row>
    <row r="91" spans="2:19" ht="15" customHeight="1">
      <c r="B91" s="97" t="s">
        <v>132</v>
      </c>
      <c r="C91" s="20">
        <v>1</v>
      </c>
      <c r="D91" s="20" t="s">
        <v>52</v>
      </c>
      <c r="E91" s="22">
        <v>74</v>
      </c>
      <c r="F91" s="79">
        <v>43</v>
      </c>
      <c r="G91" s="82">
        <v>71</v>
      </c>
      <c r="H91" s="79">
        <v>11</v>
      </c>
      <c r="I91" s="71">
        <v>21</v>
      </c>
      <c r="J91" s="71">
        <v>0</v>
      </c>
      <c r="K91" s="88">
        <v>1</v>
      </c>
      <c r="L91" s="85">
        <v>45</v>
      </c>
      <c r="M91" s="71">
        <v>1</v>
      </c>
      <c r="N91" s="71">
        <v>38</v>
      </c>
      <c r="O91" s="88">
        <v>84</v>
      </c>
      <c r="P91" s="85">
        <f>269-83-18</f>
        <v>168</v>
      </c>
      <c r="Q91" s="88">
        <f>295-83-18</f>
        <v>194</v>
      </c>
      <c r="R91" s="85">
        <f t="shared" si="4"/>
        <v>263</v>
      </c>
      <c r="S91" s="88">
        <f t="shared" si="5"/>
        <v>300</v>
      </c>
    </row>
    <row r="92" spans="2:19" ht="15" customHeight="1">
      <c r="B92" s="97" t="s">
        <v>133</v>
      </c>
      <c r="C92" s="20">
        <v>1</v>
      </c>
      <c r="D92" s="20" t="s">
        <v>75</v>
      </c>
      <c r="E92" s="22">
        <v>75</v>
      </c>
      <c r="F92" s="79">
        <v>2</v>
      </c>
      <c r="G92" s="82">
        <v>4</v>
      </c>
      <c r="H92" s="79">
        <v>0</v>
      </c>
      <c r="I92" s="71">
        <v>0</v>
      </c>
      <c r="J92" s="71">
        <v>0</v>
      </c>
      <c r="K92" s="88">
        <v>0</v>
      </c>
      <c r="L92" s="85">
        <v>1</v>
      </c>
      <c r="M92" s="71">
        <v>0</v>
      </c>
      <c r="N92" s="71">
        <v>5</v>
      </c>
      <c r="O92" s="88">
        <v>7</v>
      </c>
      <c r="P92" s="85">
        <f>21-7</f>
        <v>14</v>
      </c>
      <c r="Q92" s="88">
        <f>32-7</f>
        <v>25</v>
      </c>
      <c r="R92" s="85">
        <f t="shared" si="4"/>
        <v>21</v>
      </c>
      <c r="S92" s="88">
        <f t="shared" si="5"/>
        <v>32</v>
      </c>
    </row>
    <row r="93" spans="2:19" ht="15" customHeight="1">
      <c r="B93" s="97" t="s">
        <v>134</v>
      </c>
      <c r="C93" s="20"/>
      <c r="D93" s="20"/>
      <c r="E93" s="21">
        <v>76</v>
      </c>
      <c r="F93" s="79">
        <v>51</v>
      </c>
      <c r="G93" s="82">
        <v>66</v>
      </c>
      <c r="H93" s="79">
        <v>13</v>
      </c>
      <c r="I93" s="71">
        <v>25</v>
      </c>
      <c r="J93" s="71">
        <v>0</v>
      </c>
      <c r="K93" s="88">
        <v>0</v>
      </c>
      <c r="L93" s="85">
        <v>4</v>
      </c>
      <c r="M93" s="71">
        <v>0</v>
      </c>
      <c r="N93" s="71">
        <v>32</v>
      </c>
      <c r="O93" s="88">
        <v>36</v>
      </c>
      <c r="P93" s="85">
        <f>254-66-11</f>
        <v>177</v>
      </c>
      <c r="Q93" s="88">
        <f>299-66-11</f>
        <v>222</v>
      </c>
      <c r="R93" s="85">
        <f t="shared" si="4"/>
        <v>226</v>
      </c>
      <c r="S93" s="88">
        <f t="shared" si="5"/>
        <v>283</v>
      </c>
    </row>
    <row r="94" spans="2:19" ht="15" customHeight="1">
      <c r="B94" s="97" t="s">
        <v>135</v>
      </c>
      <c r="C94" s="20" t="s">
        <v>63</v>
      </c>
      <c r="D94" s="20"/>
      <c r="E94" s="22">
        <v>77</v>
      </c>
      <c r="F94" s="79">
        <v>1191</v>
      </c>
      <c r="G94" s="82">
        <v>2459</v>
      </c>
      <c r="H94" s="79">
        <v>457</v>
      </c>
      <c r="I94" s="71">
        <v>1126</v>
      </c>
      <c r="J94" s="71">
        <v>22</v>
      </c>
      <c r="K94" s="88">
        <v>93</v>
      </c>
      <c r="L94" s="85">
        <v>116</v>
      </c>
      <c r="M94" s="71">
        <v>2</v>
      </c>
      <c r="N94" s="71">
        <v>357</v>
      </c>
      <c r="O94" s="88">
        <v>475</v>
      </c>
      <c r="P94" s="85">
        <f>3228-830-103</f>
        <v>2295</v>
      </c>
      <c r="Q94" s="88">
        <f>4302-830-103</f>
        <v>3369</v>
      </c>
      <c r="R94" s="85">
        <f t="shared" si="4"/>
        <v>3249</v>
      </c>
      <c r="S94" s="88">
        <f t="shared" si="5"/>
        <v>5063</v>
      </c>
    </row>
    <row r="95" spans="2:19" ht="15" customHeight="1">
      <c r="B95" s="97" t="s">
        <v>136</v>
      </c>
      <c r="C95" s="20"/>
      <c r="D95" s="20"/>
      <c r="E95" s="22">
        <v>78</v>
      </c>
      <c r="F95" s="79">
        <v>138</v>
      </c>
      <c r="G95" s="82">
        <v>293</v>
      </c>
      <c r="H95" s="79">
        <v>27</v>
      </c>
      <c r="I95" s="71">
        <v>59</v>
      </c>
      <c r="J95" s="71">
        <v>2</v>
      </c>
      <c r="K95" s="88">
        <v>8</v>
      </c>
      <c r="L95" s="85">
        <v>2</v>
      </c>
      <c r="M95" s="71">
        <v>1</v>
      </c>
      <c r="N95" s="71">
        <v>34</v>
      </c>
      <c r="O95" s="88">
        <v>38</v>
      </c>
      <c r="P95" s="85">
        <f>477-101-15</f>
        <v>361</v>
      </c>
      <c r="Q95" s="88">
        <f>676-101-15</f>
        <v>560</v>
      </c>
      <c r="R95" s="85">
        <f t="shared" si="4"/>
        <v>428</v>
      </c>
      <c r="S95" s="88">
        <f t="shared" si="5"/>
        <v>665</v>
      </c>
    </row>
    <row r="96" spans="2:19" ht="15" customHeight="1">
      <c r="B96" s="97" t="s">
        <v>137</v>
      </c>
      <c r="C96" s="20">
        <v>1</v>
      </c>
      <c r="D96" s="20" t="s">
        <v>47</v>
      </c>
      <c r="E96" s="21">
        <v>79</v>
      </c>
      <c r="F96" s="79">
        <v>20</v>
      </c>
      <c r="G96" s="82">
        <v>35</v>
      </c>
      <c r="H96" s="79">
        <v>6</v>
      </c>
      <c r="I96" s="71">
        <v>13</v>
      </c>
      <c r="J96" s="71">
        <v>0</v>
      </c>
      <c r="K96" s="88">
        <v>3</v>
      </c>
      <c r="L96" s="85">
        <v>1</v>
      </c>
      <c r="M96" s="71">
        <v>0</v>
      </c>
      <c r="N96" s="71">
        <v>9</v>
      </c>
      <c r="O96" s="88">
        <v>10</v>
      </c>
      <c r="P96" s="85">
        <f>197-66</f>
        <v>131</v>
      </c>
      <c r="Q96" s="88">
        <f>224-66</f>
        <v>158</v>
      </c>
      <c r="R96" s="85">
        <f t="shared" si="4"/>
        <v>147</v>
      </c>
      <c r="S96" s="88">
        <f t="shared" si="5"/>
        <v>184</v>
      </c>
    </row>
    <row r="97" spans="2:19" ht="15" customHeight="1">
      <c r="B97" s="97" t="s">
        <v>138</v>
      </c>
      <c r="C97" s="20" t="s">
        <v>63</v>
      </c>
      <c r="D97" s="20"/>
      <c r="E97" s="22">
        <v>80</v>
      </c>
      <c r="F97" s="79">
        <v>2631</v>
      </c>
      <c r="G97" s="82">
        <v>5854</v>
      </c>
      <c r="H97" s="79">
        <v>958</v>
      </c>
      <c r="I97" s="71">
        <v>2429</v>
      </c>
      <c r="J97" s="71">
        <v>56</v>
      </c>
      <c r="K97" s="88">
        <v>236</v>
      </c>
      <c r="L97" s="85">
        <v>175</v>
      </c>
      <c r="M97" s="71">
        <v>3</v>
      </c>
      <c r="N97" s="71">
        <v>577</v>
      </c>
      <c r="O97" s="88">
        <v>756</v>
      </c>
      <c r="P97" s="85">
        <f>4991-1103-167</f>
        <v>3721</v>
      </c>
      <c r="Q97" s="88">
        <f>7488-1103-167</f>
        <v>6218</v>
      </c>
      <c r="R97" s="85">
        <f t="shared" si="4"/>
        <v>5491</v>
      </c>
      <c r="S97" s="88">
        <f t="shared" si="5"/>
        <v>9639</v>
      </c>
    </row>
    <row r="98" spans="2:19" ht="15" customHeight="1">
      <c r="B98" s="97" t="s">
        <v>139</v>
      </c>
      <c r="C98" s="20">
        <v>1</v>
      </c>
      <c r="D98" s="20" t="s">
        <v>52</v>
      </c>
      <c r="E98" s="22">
        <v>81</v>
      </c>
      <c r="F98" s="79">
        <v>23</v>
      </c>
      <c r="G98" s="82">
        <v>48</v>
      </c>
      <c r="H98" s="79">
        <v>9</v>
      </c>
      <c r="I98" s="71">
        <v>16</v>
      </c>
      <c r="J98" s="71">
        <v>1</v>
      </c>
      <c r="K98" s="88">
        <v>4</v>
      </c>
      <c r="L98" s="85">
        <v>0</v>
      </c>
      <c r="M98" s="71">
        <v>0</v>
      </c>
      <c r="N98" s="71">
        <v>5</v>
      </c>
      <c r="O98" s="88">
        <v>5</v>
      </c>
      <c r="P98" s="85">
        <f>129-32</f>
        <v>97</v>
      </c>
      <c r="Q98" s="88">
        <f>153-32</f>
        <v>121</v>
      </c>
      <c r="R98" s="85">
        <f t="shared" si="4"/>
        <v>112</v>
      </c>
      <c r="S98" s="88">
        <f t="shared" si="5"/>
        <v>146</v>
      </c>
    </row>
    <row r="99" spans="2:19" ht="15" customHeight="1">
      <c r="B99" s="97" t="s">
        <v>140</v>
      </c>
      <c r="C99" s="20">
        <v>1</v>
      </c>
      <c r="D99" s="20" t="s">
        <v>75</v>
      </c>
      <c r="E99" s="21">
        <v>82</v>
      </c>
      <c r="F99" s="79">
        <v>19</v>
      </c>
      <c r="G99" s="82">
        <v>24</v>
      </c>
      <c r="H99" s="79">
        <v>4</v>
      </c>
      <c r="I99" s="71">
        <v>6</v>
      </c>
      <c r="J99" s="71">
        <v>0</v>
      </c>
      <c r="K99" s="88">
        <v>0</v>
      </c>
      <c r="L99" s="85">
        <v>1</v>
      </c>
      <c r="M99" s="71">
        <v>0</v>
      </c>
      <c r="N99" s="71">
        <v>4</v>
      </c>
      <c r="O99" s="88">
        <v>5</v>
      </c>
      <c r="P99" s="85">
        <f>72-25</f>
        <v>47</v>
      </c>
      <c r="Q99" s="88">
        <f>87-25</f>
        <v>62</v>
      </c>
      <c r="R99" s="85">
        <f t="shared" si="4"/>
        <v>56</v>
      </c>
      <c r="S99" s="88">
        <f t="shared" si="5"/>
        <v>73</v>
      </c>
    </row>
    <row r="100" spans="2:19" ht="15" customHeight="1">
      <c r="B100" s="97" t="s">
        <v>141</v>
      </c>
      <c r="C100" s="20"/>
      <c r="D100" s="20"/>
      <c r="E100" s="22">
        <v>83</v>
      </c>
      <c r="F100" s="79">
        <v>1117</v>
      </c>
      <c r="G100" s="82">
        <v>2050</v>
      </c>
      <c r="H100" s="79">
        <v>351</v>
      </c>
      <c r="I100" s="71">
        <v>824</v>
      </c>
      <c r="J100" s="71">
        <v>19</v>
      </c>
      <c r="K100" s="88">
        <v>80</v>
      </c>
      <c r="L100" s="85">
        <v>70</v>
      </c>
      <c r="M100" s="71">
        <v>2</v>
      </c>
      <c r="N100" s="71">
        <v>315</v>
      </c>
      <c r="O100" s="88">
        <v>388</v>
      </c>
      <c r="P100" s="85">
        <f>2903-721-96</f>
        <v>2086</v>
      </c>
      <c r="Q100" s="88">
        <f>3855-721-96</f>
        <v>3038</v>
      </c>
      <c r="R100" s="85">
        <f t="shared" si="4"/>
        <v>2844</v>
      </c>
      <c r="S100" s="88">
        <f t="shared" si="5"/>
        <v>4330</v>
      </c>
    </row>
    <row r="101" spans="2:19" ht="15" customHeight="1">
      <c r="B101" s="97" t="s">
        <v>142</v>
      </c>
      <c r="C101" s="20" t="s">
        <v>63</v>
      </c>
      <c r="D101" s="20"/>
      <c r="E101" s="22">
        <v>84</v>
      </c>
      <c r="F101" s="79">
        <v>567</v>
      </c>
      <c r="G101" s="82">
        <v>1088</v>
      </c>
      <c r="H101" s="79">
        <v>205</v>
      </c>
      <c r="I101" s="71">
        <v>497</v>
      </c>
      <c r="J101" s="71">
        <v>6</v>
      </c>
      <c r="K101" s="88">
        <v>29</v>
      </c>
      <c r="L101" s="85">
        <v>40</v>
      </c>
      <c r="M101" s="71">
        <v>1</v>
      </c>
      <c r="N101" s="71">
        <v>117</v>
      </c>
      <c r="O101" s="88">
        <v>159</v>
      </c>
      <c r="P101" s="85">
        <f>1780-417-27</f>
        <v>1336</v>
      </c>
      <c r="Q101" s="88">
        <f>2238-417-27</f>
        <v>1794</v>
      </c>
      <c r="R101" s="85">
        <f t="shared" si="4"/>
        <v>1706</v>
      </c>
      <c r="S101" s="88">
        <f t="shared" si="5"/>
        <v>2479</v>
      </c>
    </row>
    <row r="102" spans="2:19" ht="15" customHeight="1">
      <c r="B102" s="97" t="s">
        <v>143</v>
      </c>
      <c r="C102" s="20"/>
      <c r="D102" s="20"/>
      <c r="E102" s="21">
        <v>85</v>
      </c>
      <c r="F102" s="79">
        <v>41</v>
      </c>
      <c r="G102" s="82">
        <v>79</v>
      </c>
      <c r="H102" s="79">
        <v>20</v>
      </c>
      <c r="I102" s="71">
        <v>49</v>
      </c>
      <c r="J102" s="71">
        <v>0</v>
      </c>
      <c r="K102" s="88">
        <v>0</v>
      </c>
      <c r="L102" s="85">
        <v>6</v>
      </c>
      <c r="M102" s="71">
        <v>1</v>
      </c>
      <c r="N102" s="71">
        <v>27</v>
      </c>
      <c r="O102" s="88">
        <v>35</v>
      </c>
      <c r="P102" s="85">
        <f>205-45</f>
        <v>160</v>
      </c>
      <c r="Q102" s="88">
        <f>247-45</f>
        <v>202</v>
      </c>
      <c r="R102" s="85">
        <f t="shared" si="4"/>
        <v>215</v>
      </c>
      <c r="S102" s="88">
        <f t="shared" si="5"/>
        <v>286</v>
      </c>
    </row>
    <row r="103" spans="2:19" ht="15" customHeight="1">
      <c r="B103" s="97" t="s">
        <v>144</v>
      </c>
      <c r="C103" s="20"/>
      <c r="D103" s="20"/>
      <c r="E103" s="22">
        <v>86</v>
      </c>
      <c r="F103" s="79">
        <v>145</v>
      </c>
      <c r="G103" s="82">
        <v>287</v>
      </c>
      <c r="H103" s="79">
        <v>66</v>
      </c>
      <c r="I103" s="71">
        <v>131</v>
      </c>
      <c r="J103" s="71">
        <v>3</v>
      </c>
      <c r="K103" s="88">
        <v>13</v>
      </c>
      <c r="L103" s="85">
        <v>12</v>
      </c>
      <c r="M103" s="71">
        <v>0</v>
      </c>
      <c r="N103" s="71">
        <v>95</v>
      </c>
      <c r="O103" s="88">
        <v>108</v>
      </c>
      <c r="P103" s="85">
        <f>661-172-26</f>
        <v>463</v>
      </c>
      <c r="Q103" s="88">
        <f>863-172-26</f>
        <v>665</v>
      </c>
      <c r="R103" s="85">
        <f t="shared" si="4"/>
        <v>640</v>
      </c>
      <c r="S103" s="88">
        <f t="shared" si="5"/>
        <v>917</v>
      </c>
    </row>
    <row r="104" spans="2:19" ht="15" customHeight="1">
      <c r="B104" s="97" t="s">
        <v>145</v>
      </c>
      <c r="C104" s="20">
        <v>1</v>
      </c>
      <c r="D104" s="20" t="s">
        <v>52</v>
      </c>
      <c r="E104" s="22">
        <v>87</v>
      </c>
      <c r="F104" s="79">
        <v>10</v>
      </c>
      <c r="G104" s="82">
        <v>20</v>
      </c>
      <c r="H104" s="79">
        <v>3</v>
      </c>
      <c r="I104" s="71">
        <v>7</v>
      </c>
      <c r="J104" s="71">
        <v>0</v>
      </c>
      <c r="K104" s="88">
        <v>1</v>
      </c>
      <c r="L104" s="85">
        <v>2</v>
      </c>
      <c r="M104" s="71">
        <v>0</v>
      </c>
      <c r="N104" s="71">
        <v>3</v>
      </c>
      <c r="O104" s="88">
        <v>5</v>
      </c>
      <c r="P104" s="85">
        <f>44-10</f>
        <v>34</v>
      </c>
      <c r="Q104" s="88">
        <f>57-10</f>
        <v>47</v>
      </c>
      <c r="R104" s="85">
        <f t="shared" si="4"/>
        <v>42</v>
      </c>
      <c r="S104" s="88">
        <f t="shared" si="5"/>
        <v>60</v>
      </c>
    </row>
    <row r="105" spans="2:19" ht="15" customHeight="1">
      <c r="B105" s="97" t="s">
        <v>146</v>
      </c>
      <c r="C105" s="20"/>
      <c r="D105" s="20"/>
      <c r="E105" s="21">
        <v>88</v>
      </c>
      <c r="F105" s="79">
        <v>522</v>
      </c>
      <c r="G105" s="82">
        <v>1180</v>
      </c>
      <c r="H105" s="79">
        <v>202</v>
      </c>
      <c r="I105" s="71">
        <v>498</v>
      </c>
      <c r="J105" s="71">
        <v>14</v>
      </c>
      <c r="K105" s="88">
        <v>63</v>
      </c>
      <c r="L105" s="85">
        <v>29</v>
      </c>
      <c r="M105" s="71">
        <v>0</v>
      </c>
      <c r="N105" s="71">
        <v>97</v>
      </c>
      <c r="O105" s="88">
        <v>126</v>
      </c>
      <c r="P105" s="85">
        <f>1432-312-22</f>
        <v>1098</v>
      </c>
      <c r="Q105" s="88">
        <f>2074-312-22</f>
        <v>1740</v>
      </c>
      <c r="R105" s="85">
        <f t="shared" si="4"/>
        <v>1440</v>
      </c>
      <c r="S105" s="88">
        <f t="shared" si="5"/>
        <v>2427</v>
      </c>
    </row>
    <row r="106" spans="2:19" ht="15" customHeight="1">
      <c r="B106" s="97" t="s">
        <v>147</v>
      </c>
      <c r="C106" s="20" t="s">
        <v>63</v>
      </c>
      <c r="D106" s="20"/>
      <c r="E106" s="22">
        <v>89</v>
      </c>
      <c r="F106" s="79">
        <v>4239</v>
      </c>
      <c r="G106" s="82">
        <v>9599</v>
      </c>
      <c r="H106" s="79">
        <v>1756</v>
      </c>
      <c r="I106" s="71">
        <v>4654</v>
      </c>
      <c r="J106" s="71">
        <v>93</v>
      </c>
      <c r="K106" s="88">
        <v>393</v>
      </c>
      <c r="L106" s="85">
        <v>297</v>
      </c>
      <c r="M106" s="71">
        <v>6</v>
      </c>
      <c r="N106" s="71">
        <v>770</v>
      </c>
      <c r="O106" s="88">
        <v>1074</v>
      </c>
      <c r="P106" s="85">
        <f>6777-1502-102</f>
        <v>5173</v>
      </c>
      <c r="Q106" s="88">
        <f>10119-1502-102</f>
        <v>8515</v>
      </c>
      <c r="R106" s="85">
        <f t="shared" si="4"/>
        <v>8096</v>
      </c>
      <c r="S106" s="88">
        <f t="shared" si="5"/>
        <v>14636</v>
      </c>
    </row>
    <row r="107" spans="2:19" ht="15" customHeight="1">
      <c r="B107" s="97" t="s">
        <v>148</v>
      </c>
      <c r="C107" s="20"/>
      <c r="D107" s="20"/>
      <c r="E107" s="22">
        <v>90</v>
      </c>
      <c r="F107" s="79">
        <v>26</v>
      </c>
      <c r="G107" s="82">
        <v>43</v>
      </c>
      <c r="H107" s="79">
        <v>5</v>
      </c>
      <c r="I107" s="71">
        <v>13</v>
      </c>
      <c r="J107" s="71">
        <v>0</v>
      </c>
      <c r="K107" s="88">
        <v>0</v>
      </c>
      <c r="L107" s="85">
        <v>3</v>
      </c>
      <c r="M107" s="71">
        <v>0</v>
      </c>
      <c r="N107" s="71">
        <v>11</v>
      </c>
      <c r="O107" s="88">
        <v>14</v>
      </c>
      <c r="P107" s="85">
        <f>164-46-7</f>
        <v>111</v>
      </c>
      <c r="Q107" s="88">
        <f>187-46-7</f>
        <v>134</v>
      </c>
      <c r="R107" s="85">
        <f t="shared" si="4"/>
        <v>130</v>
      </c>
      <c r="S107" s="88">
        <f t="shared" si="5"/>
        <v>161</v>
      </c>
    </row>
    <row r="108" spans="2:19" ht="15" customHeight="1">
      <c r="B108" s="97" t="s">
        <v>149</v>
      </c>
      <c r="C108" s="20"/>
      <c r="D108" s="20"/>
      <c r="E108" s="21">
        <v>91</v>
      </c>
      <c r="F108" s="79">
        <v>32</v>
      </c>
      <c r="G108" s="82">
        <v>66</v>
      </c>
      <c r="H108" s="79">
        <v>16</v>
      </c>
      <c r="I108" s="71">
        <v>34</v>
      </c>
      <c r="J108" s="71">
        <v>1</v>
      </c>
      <c r="K108" s="88">
        <v>3</v>
      </c>
      <c r="L108" s="85">
        <v>2</v>
      </c>
      <c r="M108" s="71">
        <v>0</v>
      </c>
      <c r="N108" s="71">
        <v>13</v>
      </c>
      <c r="O108" s="88">
        <v>15</v>
      </c>
      <c r="P108" s="85">
        <f>205-45</f>
        <v>160</v>
      </c>
      <c r="Q108" s="88">
        <f>285-45</f>
        <v>240</v>
      </c>
      <c r="R108" s="85">
        <f t="shared" si="4"/>
        <v>192</v>
      </c>
      <c r="S108" s="88">
        <f t="shared" si="5"/>
        <v>292</v>
      </c>
    </row>
    <row r="109" spans="2:19" ht="15" customHeight="1">
      <c r="B109" s="97" t="s">
        <v>150</v>
      </c>
      <c r="C109" s="20">
        <v>1</v>
      </c>
      <c r="D109" s="20" t="s">
        <v>52</v>
      </c>
      <c r="E109" s="22">
        <v>92</v>
      </c>
      <c r="F109" s="79">
        <v>20</v>
      </c>
      <c r="G109" s="82">
        <v>42</v>
      </c>
      <c r="H109" s="79">
        <v>5</v>
      </c>
      <c r="I109" s="71">
        <v>12</v>
      </c>
      <c r="J109" s="71">
        <v>0</v>
      </c>
      <c r="K109" s="88">
        <v>3</v>
      </c>
      <c r="L109" s="85">
        <v>0</v>
      </c>
      <c r="M109" s="71">
        <v>0</v>
      </c>
      <c r="N109" s="71">
        <v>13</v>
      </c>
      <c r="O109" s="88">
        <v>14</v>
      </c>
      <c r="P109" s="85">
        <f>95-26</f>
        <v>69</v>
      </c>
      <c r="Q109" s="88">
        <f>124-26</f>
        <v>98</v>
      </c>
      <c r="R109" s="85">
        <f t="shared" si="4"/>
        <v>88</v>
      </c>
      <c r="S109" s="88">
        <f t="shared" si="5"/>
        <v>127</v>
      </c>
    </row>
    <row r="110" spans="2:19" ht="15" customHeight="1">
      <c r="B110" s="97" t="s">
        <v>151</v>
      </c>
      <c r="C110" s="20" t="s">
        <v>63</v>
      </c>
      <c r="D110" s="20"/>
      <c r="E110" s="22">
        <v>93</v>
      </c>
      <c r="F110" s="79">
        <v>11744</v>
      </c>
      <c r="G110" s="82">
        <v>24541</v>
      </c>
      <c r="H110" s="79">
        <v>4935</v>
      </c>
      <c r="I110" s="71">
        <v>13093</v>
      </c>
      <c r="J110" s="71">
        <v>119</v>
      </c>
      <c r="K110" s="88">
        <v>525</v>
      </c>
      <c r="L110" s="85">
        <v>663</v>
      </c>
      <c r="M110" s="71">
        <v>4</v>
      </c>
      <c r="N110" s="71">
        <v>1702</v>
      </c>
      <c r="O110" s="88">
        <v>2370</v>
      </c>
      <c r="P110" s="85">
        <f>13605-2761-133</f>
        <v>10711</v>
      </c>
      <c r="Q110" s="88">
        <f>18437-2762-133</f>
        <v>15542</v>
      </c>
      <c r="R110" s="85">
        <f t="shared" si="4"/>
        <v>18135</v>
      </c>
      <c r="S110" s="88">
        <f t="shared" si="5"/>
        <v>31530</v>
      </c>
    </row>
    <row r="111" spans="2:19" ht="15" customHeight="1">
      <c r="B111" s="97" t="s">
        <v>152</v>
      </c>
      <c r="C111" s="20"/>
      <c r="D111" s="20"/>
      <c r="E111" s="22">
        <v>95</v>
      </c>
      <c r="F111" s="79">
        <v>1521</v>
      </c>
      <c r="G111" s="82">
        <v>3254</v>
      </c>
      <c r="H111" s="79">
        <v>568</v>
      </c>
      <c r="I111" s="71">
        <v>1443</v>
      </c>
      <c r="J111" s="71">
        <v>43</v>
      </c>
      <c r="K111" s="88">
        <v>180</v>
      </c>
      <c r="L111" s="85">
        <v>103</v>
      </c>
      <c r="M111" s="71">
        <v>1</v>
      </c>
      <c r="N111" s="71">
        <v>334</v>
      </c>
      <c r="O111" s="88">
        <v>438</v>
      </c>
      <c r="P111" s="85">
        <f>2849-710-74</f>
        <v>2065</v>
      </c>
      <c r="Q111" s="88">
        <f>3949-710-74</f>
        <v>3165</v>
      </c>
      <c r="R111" s="85">
        <f t="shared" si="4"/>
        <v>3114</v>
      </c>
      <c r="S111" s="88">
        <f t="shared" si="5"/>
        <v>5226</v>
      </c>
    </row>
    <row r="112" spans="2:19" ht="15" customHeight="1">
      <c r="B112" s="97" t="s">
        <v>153</v>
      </c>
      <c r="C112" s="20"/>
      <c r="D112" s="20"/>
      <c r="E112" s="22">
        <v>96</v>
      </c>
      <c r="F112" s="79">
        <v>223</v>
      </c>
      <c r="G112" s="82">
        <v>428</v>
      </c>
      <c r="H112" s="79">
        <v>87</v>
      </c>
      <c r="I112" s="71">
        <v>184</v>
      </c>
      <c r="J112" s="71">
        <v>3</v>
      </c>
      <c r="K112" s="88">
        <v>13</v>
      </c>
      <c r="L112" s="85">
        <v>28</v>
      </c>
      <c r="M112" s="71">
        <v>0</v>
      </c>
      <c r="N112" s="71">
        <v>92</v>
      </c>
      <c r="O112" s="88">
        <v>121</v>
      </c>
      <c r="P112" s="85">
        <f>1008-263-42</f>
        <v>703</v>
      </c>
      <c r="Q112" s="88">
        <f>1296-263-42</f>
        <v>991</v>
      </c>
      <c r="R112" s="85">
        <f t="shared" si="4"/>
        <v>914</v>
      </c>
      <c r="S112" s="88">
        <f t="shared" si="5"/>
        <v>1309</v>
      </c>
    </row>
    <row r="113" spans="2:19" ht="15" customHeight="1">
      <c r="B113" s="97" t="s">
        <v>154</v>
      </c>
      <c r="C113" s="20"/>
      <c r="D113" s="20"/>
      <c r="E113" s="21">
        <v>94</v>
      </c>
      <c r="F113" s="79">
        <v>192</v>
      </c>
      <c r="G113" s="82">
        <v>339</v>
      </c>
      <c r="H113" s="79">
        <v>64</v>
      </c>
      <c r="I113" s="71">
        <v>136</v>
      </c>
      <c r="J113" s="71">
        <v>5</v>
      </c>
      <c r="K113" s="88">
        <v>22</v>
      </c>
      <c r="L113" s="85">
        <v>27</v>
      </c>
      <c r="M113" s="71">
        <v>2</v>
      </c>
      <c r="N113" s="71">
        <v>55</v>
      </c>
      <c r="O113" s="88">
        <v>85</v>
      </c>
      <c r="P113" s="85">
        <f>1036-270-46</f>
        <v>720</v>
      </c>
      <c r="Q113" s="88">
        <f>1197-270-46</f>
        <v>881</v>
      </c>
      <c r="R113" s="85">
        <f t="shared" si="4"/>
        <v>874</v>
      </c>
      <c r="S113" s="88">
        <f t="shared" si="5"/>
        <v>1124</v>
      </c>
    </row>
    <row r="114" spans="2:19" ht="15" customHeight="1">
      <c r="B114" s="97" t="s">
        <v>155</v>
      </c>
      <c r="C114" s="20"/>
      <c r="D114" s="20"/>
      <c r="E114" s="21">
        <v>97</v>
      </c>
      <c r="F114" s="79">
        <v>130</v>
      </c>
      <c r="G114" s="82">
        <v>171</v>
      </c>
      <c r="H114" s="79">
        <v>16</v>
      </c>
      <c r="I114" s="71">
        <v>36</v>
      </c>
      <c r="J114" s="71">
        <v>1</v>
      </c>
      <c r="K114" s="88">
        <v>7</v>
      </c>
      <c r="L114" s="85">
        <v>6</v>
      </c>
      <c r="M114" s="71">
        <v>0</v>
      </c>
      <c r="N114" s="71">
        <v>26</v>
      </c>
      <c r="O114" s="88">
        <v>33</v>
      </c>
      <c r="P114" s="85">
        <f>491-111-26</f>
        <v>354</v>
      </c>
      <c r="Q114" s="88">
        <f>565-111-26</f>
        <v>428</v>
      </c>
      <c r="R114" s="85">
        <f aca="true" t="shared" si="6" ref="R114:R145">SUM(H114,J114,O114,P114)</f>
        <v>404</v>
      </c>
      <c r="S114" s="88">
        <f aca="true" t="shared" si="7" ref="S114:S145">SUM(I114,K114,O114,Q114)</f>
        <v>504</v>
      </c>
    </row>
    <row r="115" spans="2:19" ht="15" customHeight="1">
      <c r="B115" s="97" t="s">
        <v>156</v>
      </c>
      <c r="C115" s="20">
        <v>1</v>
      </c>
      <c r="D115" s="20" t="s">
        <v>52</v>
      </c>
      <c r="E115" s="22">
        <v>98</v>
      </c>
      <c r="F115" s="79">
        <v>8</v>
      </c>
      <c r="G115" s="82">
        <v>24</v>
      </c>
      <c r="H115" s="79">
        <v>6</v>
      </c>
      <c r="I115" s="71">
        <v>14</v>
      </c>
      <c r="J115" s="71">
        <v>0</v>
      </c>
      <c r="K115" s="88">
        <v>2</v>
      </c>
      <c r="L115" s="85">
        <v>1</v>
      </c>
      <c r="M115" s="71">
        <v>0</v>
      </c>
      <c r="N115" s="71">
        <v>9</v>
      </c>
      <c r="O115" s="88">
        <v>10</v>
      </c>
      <c r="P115" s="85">
        <f>53-11</f>
        <v>42</v>
      </c>
      <c r="Q115" s="88">
        <f>82-11</f>
        <v>71</v>
      </c>
      <c r="R115" s="85">
        <f t="shared" si="6"/>
        <v>58</v>
      </c>
      <c r="S115" s="88">
        <f t="shared" si="7"/>
        <v>97</v>
      </c>
    </row>
    <row r="116" spans="2:19" ht="15" customHeight="1">
      <c r="B116" s="97" t="s">
        <v>157</v>
      </c>
      <c r="C116" s="20"/>
      <c r="D116" s="20"/>
      <c r="E116" s="22">
        <v>99</v>
      </c>
      <c r="F116" s="79">
        <v>67</v>
      </c>
      <c r="G116" s="82">
        <v>120</v>
      </c>
      <c r="H116" s="79">
        <v>31</v>
      </c>
      <c r="I116" s="71">
        <v>66</v>
      </c>
      <c r="J116" s="71">
        <v>0</v>
      </c>
      <c r="K116" s="88">
        <v>0</v>
      </c>
      <c r="L116" s="85">
        <v>7</v>
      </c>
      <c r="M116" s="71">
        <v>0</v>
      </c>
      <c r="N116" s="71">
        <v>21</v>
      </c>
      <c r="O116" s="88">
        <v>28</v>
      </c>
      <c r="P116" s="85">
        <f>239-36-7</f>
        <v>196</v>
      </c>
      <c r="Q116" s="88">
        <f>300-36-7</f>
        <v>257</v>
      </c>
      <c r="R116" s="85">
        <f t="shared" si="6"/>
        <v>255</v>
      </c>
      <c r="S116" s="88">
        <f t="shared" si="7"/>
        <v>351</v>
      </c>
    </row>
    <row r="117" spans="2:19" ht="15" customHeight="1">
      <c r="B117" s="97" t="s">
        <v>158</v>
      </c>
      <c r="C117" s="20">
        <v>1</v>
      </c>
      <c r="D117" s="20" t="s">
        <v>52</v>
      </c>
      <c r="E117" s="21">
        <v>100</v>
      </c>
      <c r="F117" s="79">
        <v>29</v>
      </c>
      <c r="G117" s="82">
        <v>64</v>
      </c>
      <c r="H117" s="79">
        <v>10</v>
      </c>
      <c r="I117" s="71">
        <v>21</v>
      </c>
      <c r="J117" s="71">
        <v>2</v>
      </c>
      <c r="K117" s="88">
        <v>6</v>
      </c>
      <c r="L117" s="85">
        <v>4</v>
      </c>
      <c r="M117" s="71">
        <v>0</v>
      </c>
      <c r="N117" s="71">
        <v>19</v>
      </c>
      <c r="O117" s="88">
        <v>24</v>
      </c>
      <c r="P117" s="85">
        <v>133</v>
      </c>
      <c r="Q117" s="88">
        <v>183</v>
      </c>
      <c r="R117" s="85">
        <f t="shared" si="6"/>
        <v>169</v>
      </c>
      <c r="S117" s="88">
        <f t="shared" si="7"/>
        <v>234</v>
      </c>
    </row>
    <row r="118" spans="2:19" ht="15" customHeight="1">
      <c r="B118" s="97" t="s">
        <v>159</v>
      </c>
      <c r="C118" s="20"/>
      <c r="D118" s="20"/>
      <c r="E118" s="22">
        <v>101</v>
      </c>
      <c r="F118" s="79">
        <v>135</v>
      </c>
      <c r="G118" s="82">
        <v>234</v>
      </c>
      <c r="H118" s="79">
        <v>53</v>
      </c>
      <c r="I118" s="71">
        <v>106</v>
      </c>
      <c r="J118" s="71">
        <v>3</v>
      </c>
      <c r="K118" s="88">
        <v>11</v>
      </c>
      <c r="L118" s="85">
        <v>13</v>
      </c>
      <c r="M118" s="71">
        <v>0</v>
      </c>
      <c r="N118" s="71">
        <v>60</v>
      </c>
      <c r="O118" s="88">
        <v>74</v>
      </c>
      <c r="P118" s="85">
        <f>640-176-11</f>
        <v>453</v>
      </c>
      <c r="Q118" s="88">
        <f>731-176-11</f>
        <v>544</v>
      </c>
      <c r="R118" s="85">
        <f t="shared" si="6"/>
        <v>583</v>
      </c>
      <c r="S118" s="88">
        <f t="shared" si="7"/>
        <v>735</v>
      </c>
    </row>
    <row r="119" spans="2:19" ht="15" customHeight="1">
      <c r="B119" s="97" t="s">
        <v>160</v>
      </c>
      <c r="C119" s="20">
        <v>1</v>
      </c>
      <c r="D119" s="20" t="s">
        <v>47</v>
      </c>
      <c r="E119" s="22">
        <v>102</v>
      </c>
      <c r="F119" s="79">
        <v>26</v>
      </c>
      <c r="G119" s="82">
        <v>48</v>
      </c>
      <c r="H119" s="79">
        <v>8</v>
      </c>
      <c r="I119" s="71">
        <v>17</v>
      </c>
      <c r="J119" s="71">
        <v>1</v>
      </c>
      <c r="K119" s="88">
        <v>6</v>
      </c>
      <c r="L119" s="85">
        <v>1</v>
      </c>
      <c r="M119" s="71">
        <v>0</v>
      </c>
      <c r="N119" s="71">
        <v>9</v>
      </c>
      <c r="O119" s="88">
        <v>11</v>
      </c>
      <c r="P119" s="85">
        <f>91-20</f>
        <v>71</v>
      </c>
      <c r="Q119" s="88">
        <f>126-20</f>
        <v>106</v>
      </c>
      <c r="R119" s="85">
        <f t="shared" si="6"/>
        <v>91</v>
      </c>
      <c r="S119" s="88">
        <f t="shared" si="7"/>
        <v>140</v>
      </c>
    </row>
    <row r="120" spans="2:19" ht="15" customHeight="1">
      <c r="B120" s="97" t="s">
        <v>161</v>
      </c>
      <c r="C120" s="20" t="s">
        <v>63</v>
      </c>
      <c r="D120" s="20"/>
      <c r="E120" s="21">
        <v>103</v>
      </c>
      <c r="F120" s="79">
        <v>1786</v>
      </c>
      <c r="G120" s="82">
        <v>3276</v>
      </c>
      <c r="H120" s="79">
        <v>714</v>
      </c>
      <c r="I120" s="71">
        <v>1656</v>
      </c>
      <c r="J120" s="71">
        <v>14</v>
      </c>
      <c r="K120" s="88">
        <v>57</v>
      </c>
      <c r="L120" s="85">
        <v>159</v>
      </c>
      <c r="M120" s="71">
        <v>3</v>
      </c>
      <c r="N120" s="71">
        <v>379</v>
      </c>
      <c r="O120" s="88">
        <v>541</v>
      </c>
      <c r="P120" s="85">
        <f>4319-1159-143</f>
        <v>3017</v>
      </c>
      <c r="Q120" s="88">
        <f>5600-1159-143</f>
        <v>4298</v>
      </c>
      <c r="R120" s="85">
        <f t="shared" si="6"/>
        <v>4286</v>
      </c>
      <c r="S120" s="88">
        <f t="shared" si="7"/>
        <v>6552</v>
      </c>
    </row>
    <row r="121" spans="2:19" ht="15" customHeight="1">
      <c r="B121" s="97" t="s">
        <v>162</v>
      </c>
      <c r="C121" s="20"/>
      <c r="D121" s="20"/>
      <c r="E121" s="22">
        <v>104</v>
      </c>
      <c r="F121" s="79">
        <v>1509</v>
      </c>
      <c r="G121" s="82">
        <v>2969</v>
      </c>
      <c r="H121" s="79">
        <v>479</v>
      </c>
      <c r="I121" s="71">
        <v>1149</v>
      </c>
      <c r="J121" s="71">
        <v>44</v>
      </c>
      <c r="K121" s="88">
        <v>189</v>
      </c>
      <c r="L121" s="85">
        <v>111</v>
      </c>
      <c r="M121" s="71">
        <v>2</v>
      </c>
      <c r="N121" s="71">
        <v>394</v>
      </c>
      <c r="O121" s="88">
        <v>508</v>
      </c>
      <c r="P121" s="85">
        <f>3218-869-130</f>
        <v>2219</v>
      </c>
      <c r="Q121" s="88">
        <f>4358-869-130</f>
        <v>3359</v>
      </c>
      <c r="R121" s="85">
        <f t="shared" si="6"/>
        <v>3250</v>
      </c>
      <c r="S121" s="88">
        <f t="shared" si="7"/>
        <v>5205</v>
      </c>
    </row>
    <row r="122" spans="2:19" ht="15" customHeight="1">
      <c r="B122" s="97" t="s">
        <v>163</v>
      </c>
      <c r="C122" s="20"/>
      <c r="D122" s="20"/>
      <c r="E122" s="22">
        <v>105</v>
      </c>
      <c r="F122" s="79">
        <v>26</v>
      </c>
      <c r="G122" s="82">
        <v>45</v>
      </c>
      <c r="H122" s="79">
        <v>8</v>
      </c>
      <c r="I122" s="71">
        <v>18</v>
      </c>
      <c r="J122" s="71">
        <v>0</v>
      </c>
      <c r="K122" s="88">
        <v>2</v>
      </c>
      <c r="L122" s="85">
        <v>3</v>
      </c>
      <c r="M122" s="71">
        <v>1</v>
      </c>
      <c r="N122" s="71">
        <v>19</v>
      </c>
      <c r="O122" s="88">
        <v>23</v>
      </c>
      <c r="P122" s="85">
        <f>124-41-6</f>
        <v>77</v>
      </c>
      <c r="Q122" s="88">
        <f>159-41-6</f>
        <v>112</v>
      </c>
      <c r="R122" s="85">
        <f t="shared" si="6"/>
        <v>108</v>
      </c>
      <c r="S122" s="88">
        <f t="shared" si="7"/>
        <v>155</v>
      </c>
    </row>
    <row r="123" spans="2:19" ht="15" customHeight="1">
      <c r="B123" s="97" t="s">
        <v>204</v>
      </c>
      <c r="C123" s="20"/>
      <c r="D123" s="20"/>
      <c r="E123" s="21">
        <v>106</v>
      </c>
      <c r="F123" s="79">
        <v>44</v>
      </c>
      <c r="G123" s="82">
        <v>83</v>
      </c>
      <c r="H123" s="79">
        <v>21</v>
      </c>
      <c r="I123" s="71">
        <v>44</v>
      </c>
      <c r="J123" s="71">
        <v>0</v>
      </c>
      <c r="K123" s="88">
        <v>0</v>
      </c>
      <c r="L123" s="85">
        <v>4</v>
      </c>
      <c r="M123" s="71">
        <v>0</v>
      </c>
      <c r="N123" s="71">
        <v>23</v>
      </c>
      <c r="O123" s="88">
        <v>27</v>
      </c>
      <c r="P123" s="85">
        <f>466-116-35</f>
        <v>315</v>
      </c>
      <c r="Q123" s="88">
        <f>546-116-35</f>
        <v>395</v>
      </c>
      <c r="R123" s="85">
        <f t="shared" si="6"/>
        <v>363</v>
      </c>
      <c r="S123" s="88">
        <f t="shared" si="7"/>
        <v>466</v>
      </c>
    </row>
    <row r="124" spans="2:19" ht="15" customHeight="1">
      <c r="B124" s="97" t="s">
        <v>205</v>
      </c>
      <c r="C124" s="20"/>
      <c r="D124" s="20"/>
      <c r="E124" s="22">
        <v>107</v>
      </c>
      <c r="F124" s="79">
        <v>34</v>
      </c>
      <c r="G124" s="82">
        <v>51</v>
      </c>
      <c r="H124" s="79">
        <v>14</v>
      </c>
      <c r="I124" s="71">
        <v>25</v>
      </c>
      <c r="J124" s="71">
        <v>1</v>
      </c>
      <c r="K124" s="88">
        <v>3</v>
      </c>
      <c r="L124" s="85">
        <v>7</v>
      </c>
      <c r="M124" s="71">
        <v>0</v>
      </c>
      <c r="N124" s="71">
        <v>24</v>
      </c>
      <c r="O124" s="88">
        <v>31</v>
      </c>
      <c r="P124" s="85">
        <f>241-69-5</f>
        <v>167</v>
      </c>
      <c r="Q124" s="88">
        <f>268-69-5</f>
        <v>194</v>
      </c>
      <c r="R124" s="85">
        <f t="shared" si="6"/>
        <v>213</v>
      </c>
      <c r="S124" s="88">
        <f t="shared" si="7"/>
        <v>253</v>
      </c>
    </row>
    <row r="125" spans="2:19" ht="15" customHeight="1">
      <c r="B125" s="97" t="s">
        <v>206</v>
      </c>
      <c r="C125" s="20"/>
      <c r="D125" s="20"/>
      <c r="E125" s="22">
        <v>108</v>
      </c>
      <c r="F125" s="79">
        <v>36</v>
      </c>
      <c r="G125" s="82">
        <v>61</v>
      </c>
      <c r="H125" s="79">
        <v>12</v>
      </c>
      <c r="I125" s="71">
        <v>24</v>
      </c>
      <c r="J125" s="71">
        <v>0</v>
      </c>
      <c r="K125" s="88">
        <v>1</v>
      </c>
      <c r="L125" s="85">
        <v>1</v>
      </c>
      <c r="M125" s="71">
        <v>0</v>
      </c>
      <c r="N125" s="71">
        <v>16</v>
      </c>
      <c r="O125" s="88">
        <v>18</v>
      </c>
      <c r="P125" s="85">
        <f>150-26-6</f>
        <v>118</v>
      </c>
      <c r="Q125" s="88">
        <f>202-26-6</f>
        <v>170</v>
      </c>
      <c r="R125" s="85">
        <f t="shared" si="6"/>
        <v>148</v>
      </c>
      <c r="S125" s="88">
        <f t="shared" si="7"/>
        <v>213</v>
      </c>
    </row>
    <row r="126" spans="2:19" ht="15" customHeight="1">
      <c r="B126" s="97" t="s">
        <v>207</v>
      </c>
      <c r="C126" s="20">
        <v>1</v>
      </c>
      <c r="D126" s="20" t="s">
        <v>47</v>
      </c>
      <c r="E126" s="21">
        <v>109</v>
      </c>
      <c r="F126" s="79">
        <v>321</v>
      </c>
      <c r="G126" s="82">
        <v>702</v>
      </c>
      <c r="H126" s="79">
        <v>123</v>
      </c>
      <c r="I126" s="71">
        <v>287</v>
      </c>
      <c r="J126" s="71">
        <v>14</v>
      </c>
      <c r="K126" s="88">
        <v>54</v>
      </c>
      <c r="L126" s="85">
        <v>14</v>
      </c>
      <c r="M126" s="71">
        <v>0</v>
      </c>
      <c r="N126" s="71">
        <v>93</v>
      </c>
      <c r="O126" s="88">
        <v>107</v>
      </c>
      <c r="P126" s="85">
        <f>1093-262-58</f>
        <v>773</v>
      </c>
      <c r="Q126" s="88">
        <f>1448-262-58</f>
        <v>1128</v>
      </c>
      <c r="R126" s="85">
        <f t="shared" si="6"/>
        <v>1017</v>
      </c>
      <c r="S126" s="88">
        <f t="shared" si="7"/>
        <v>1576</v>
      </c>
    </row>
    <row r="127" spans="2:19" ht="15" customHeight="1">
      <c r="B127" s="97" t="s">
        <v>208</v>
      </c>
      <c r="C127" s="20"/>
      <c r="D127" s="20"/>
      <c r="E127" s="22">
        <v>110</v>
      </c>
      <c r="F127" s="79">
        <v>220</v>
      </c>
      <c r="G127" s="82">
        <v>382</v>
      </c>
      <c r="H127" s="79">
        <v>71</v>
      </c>
      <c r="I127" s="71">
        <v>160</v>
      </c>
      <c r="J127" s="71">
        <v>3</v>
      </c>
      <c r="K127" s="88">
        <v>19</v>
      </c>
      <c r="L127" s="85">
        <v>24</v>
      </c>
      <c r="M127" s="71">
        <v>0</v>
      </c>
      <c r="N127" s="71">
        <v>76</v>
      </c>
      <c r="O127" s="88">
        <v>101</v>
      </c>
      <c r="P127" s="85">
        <f>747-191-24</f>
        <v>532</v>
      </c>
      <c r="Q127" s="88">
        <f>908-191-24</f>
        <v>693</v>
      </c>
      <c r="R127" s="85">
        <f t="shared" si="6"/>
        <v>707</v>
      </c>
      <c r="S127" s="88">
        <f t="shared" si="7"/>
        <v>973</v>
      </c>
    </row>
    <row r="128" spans="2:19" ht="15" customHeight="1">
      <c r="B128" s="97" t="s">
        <v>209</v>
      </c>
      <c r="C128" s="20">
        <v>1</v>
      </c>
      <c r="D128" s="20" t="s">
        <v>52</v>
      </c>
      <c r="E128" s="22">
        <v>111</v>
      </c>
      <c r="F128" s="79">
        <v>114</v>
      </c>
      <c r="G128" s="82">
        <v>241</v>
      </c>
      <c r="H128" s="79">
        <v>46</v>
      </c>
      <c r="I128" s="71">
        <v>97</v>
      </c>
      <c r="J128" s="71">
        <v>2</v>
      </c>
      <c r="K128" s="88">
        <v>8</v>
      </c>
      <c r="L128" s="85">
        <v>11</v>
      </c>
      <c r="M128" s="71">
        <v>0</v>
      </c>
      <c r="N128" s="71">
        <v>29</v>
      </c>
      <c r="O128" s="88">
        <v>40</v>
      </c>
      <c r="P128" s="85">
        <f>435-98-10</f>
        <v>327</v>
      </c>
      <c r="Q128" s="88">
        <f>608-98-10</f>
        <v>500</v>
      </c>
      <c r="R128" s="85">
        <f t="shared" si="6"/>
        <v>415</v>
      </c>
      <c r="S128" s="88">
        <f t="shared" si="7"/>
        <v>645</v>
      </c>
    </row>
    <row r="129" spans="2:19" ht="15" customHeight="1">
      <c r="B129" s="97" t="s">
        <v>210</v>
      </c>
      <c r="C129" s="20">
        <v>1</v>
      </c>
      <c r="D129" s="20" t="s">
        <v>47</v>
      </c>
      <c r="E129" s="21">
        <v>112</v>
      </c>
      <c r="F129" s="79">
        <v>22</v>
      </c>
      <c r="G129" s="82">
        <v>47</v>
      </c>
      <c r="H129" s="79">
        <v>9</v>
      </c>
      <c r="I129" s="71">
        <v>24</v>
      </c>
      <c r="J129" s="71">
        <v>0</v>
      </c>
      <c r="K129" s="88">
        <v>0</v>
      </c>
      <c r="L129" s="85">
        <v>8</v>
      </c>
      <c r="M129" s="71">
        <v>0</v>
      </c>
      <c r="N129" s="71">
        <v>13</v>
      </c>
      <c r="O129" s="88">
        <v>21</v>
      </c>
      <c r="P129" s="85">
        <f>100-32</f>
        <v>68</v>
      </c>
      <c r="Q129" s="88">
        <f>138-32</f>
        <v>106</v>
      </c>
      <c r="R129" s="85">
        <f t="shared" si="6"/>
        <v>98</v>
      </c>
      <c r="S129" s="88">
        <f t="shared" si="7"/>
        <v>151</v>
      </c>
    </row>
    <row r="130" spans="2:19" ht="15" customHeight="1">
      <c r="B130" s="97" t="s">
        <v>211</v>
      </c>
      <c r="C130" s="20"/>
      <c r="D130" s="20"/>
      <c r="E130" s="22">
        <v>113</v>
      </c>
      <c r="F130" s="79">
        <v>98</v>
      </c>
      <c r="G130" s="82">
        <v>192</v>
      </c>
      <c r="H130" s="79">
        <v>38</v>
      </c>
      <c r="I130" s="71">
        <v>88</v>
      </c>
      <c r="J130" s="71">
        <v>0</v>
      </c>
      <c r="K130" s="88">
        <v>1</v>
      </c>
      <c r="L130" s="85">
        <v>32</v>
      </c>
      <c r="M130" s="71">
        <v>0</v>
      </c>
      <c r="N130" s="71">
        <v>21</v>
      </c>
      <c r="O130" s="88">
        <v>53</v>
      </c>
      <c r="P130" s="85">
        <f>320-87-18</f>
        <v>215</v>
      </c>
      <c r="Q130" s="88">
        <f>412-87-18</f>
        <v>307</v>
      </c>
      <c r="R130" s="85">
        <f t="shared" si="6"/>
        <v>306</v>
      </c>
      <c r="S130" s="88">
        <f t="shared" si="7"/>
        <v>449</v>
      </c>
    </row>
    <row r="131" spans="2:19" ht="15" customHeight="1">
      <c r="B131" s="97" t="s">
        <v>212</v>
      </c>
      <c r="C131" s="20">
        <v>1</v>
      </c>
      <c r="D131" s="20" t="s">
        <v>47</v>
      </c>
      <c r="E131" s="22">
        <v>114</v>
      </c>
      <c r="F131" s="79">
        <v>26</v>
      </c>
      <c r="G131" s="82">
        <v>48</v>
      </c>
      <c r="H131" s="79">
        <v>7</v>
      </c>
      <c r="I131" s="71">
        <v>13</v>
      </c>
      <c r="J131" s="71">
        <v>1</v>
      </c>
      <c r="K131" s="88">
        <v>3</v>
      </c>
      <c r="L131" s="85">
        <v>0</v>
      </c>
      <c r="M131" s="71">
        <v>0</v>
      </c>
      <c r="N131" s="71">
        <v>15</v>
      </c>
      <c r="O131" s="88">
        <v>16</v>
      </c>
      <c r="P131" s="85">
        <f>119-27</f>
        <v>92</v>
      </c>
      <c r="Q131" s="88">
        <f>169-27</f>
        <v>142</v>
      </c>
      <c r="R131" s="85">
        <f t="shared" si="6"/>
        <v>116</v>
      </c>
      <c r="S131" s="88">
        <f t="shared" si="7"/>
        <v>174</v>
      </c>
    </row>
    <row r="132" spans="2:19" ht="15" customHeight="1">
      <c r="B132" s="97" t="s">
        <v>213</v>
      </c>
      <c r="C132" s="20"/>
      <c r="D132" s="20"/>
      <c r="E132" s="21">
        <v>115</v>
      </c>
      <c r="F132" s="79">
        <v>27</v>
      </c>
      <c r="G132" s="82">
        <v>62</v>
      </c>
      <c r="H132" s="79">
        <v>15</v>
      </c>
      <c r="I132" s="71">
        <v>34</v>
      </c>
      <c r="J132" s="71">
        <v>0</v>
      </c>
      <c r="K132" s="88">
        <v>0</v>
      </c>
      <c r="L132" s="85">
        <v>3</v>
      </c>
      <c r="M132" s="71">
        <v>0</v>
      </c>
      <c r="N132" s="71">
        <v>11</v>
      </c>
      <c r="O132" s="88">
        <v>14</v>
      </c>
      <c r="P132" s="85">
        <f>315-90-13</f>
        <v>212</v>
      </c>
      <c r="Q132" s="88">
        <f>353-90-13</f>
        <v>250</v>
      </c>
      <c r="R132" s="85">
        <f t="shared" si="6"/>
        <v>241</v>
      </c>
      <c r="S132" s="88">
        <f t="shared" si="7"/>
        <v>298</v>
      </c>
    </row>
    <row r="133" spans="2:19" ht="15" customHeight="1">
      <c r="B133" s="97" t="s">
        <v>214</v>
      </c>
      <c r="C133" s="20">
        <v>1</v>
      </c>
      <c r="D133" s="20" t="s">
        <v>47</v>
      </c>
      <c r="E133" s="22">
        <v>116</v>
      </c>
      <c r="F133" s="79">
        <v>321</v>
      </c>
      <c r="G133" s="82">
        <v>693</v>
      </c>
      <c r="H133" s="79">
        <v>120</v>
      </c>
      <c r="I133" s="71">
        <v>278</v>
      </c>
      <c r="J133" s="71">
        <v>13</v>
      </c>
      <c r="K133" s="88">
        <v>56</v>
      </c>
      <c r="L133" s="85">
        <v>12</v>
      </c>
      <c r="M133" s="71">
        <v>1</v>
      </c>
      <c r="N133" s="71">
        <v>63</v>
      </c>
      <c r="O133" s="88">
        <v>77</v>
      </c>
      <c r="P133" s="85">
        <f>965-318-30</f>
        <v>617</v>
      </c>
      <c r="Q133" s="88">
        <f>1223-318-30</f>
        <v>875</v>
      </c>
      <c r="R133" s="85">
        <f t="shared" si="6"/>
        <v>827</v>
      </c>
      <c r="S133" s="88">
        <f t="shared" si="7"/>
        <v>1286</v>
      </c>
    </row>
    <row r="134" spans="2:19" ht="15" customHeight="1">
      <c r="B134" s="97" t="s">
        <v>215</v>
      </c>
      <c r="C134" s="20"/>
      <c r="D134" s="20"/>
      <c r="E134" s="22">
        <v>117</v>
      </c>
      <c r="F134" s="79">
        <v>9</v>
      </c>
      <c r="G134" s="82">
        <v>12</v>
      </c>
      <c r="H134" s="79">
        <v>2</v>
      </c>
      <c r="I134" s="71">
        <v>4</v>
      </c>
      <c r="J134" s="71">
        <v>0</v>
      </c>
      <c r="K134" s="88">
        <v>0</v>
      </c>
      <c r="L134" s="85">
        <v>0</v>
      </c>
      <c r="M134" s="71">
        <v>0</v>
      </c>
      <c r="N134" s="71">
        <v>6</v>
      </c>
      <c r="O134" s="88">
        <v>7</v>
      </c>
      <c r="P134" s="85">
        <f>55-12</f>
        <v>43</v>
      </c>
      <c r="Q134" s="88">
        <f>73-12</f>
        <v>61</v>
      </c>
      <c r="R134" s="85">
        <f t="shared" si="6"/>
        <v>52</v>
      </c>
      <c r="S134" s="88">
        <f t="shared" si="7"/>
        <v>72</v>
      </c>
    </row>
    <row r="135" spans="2:19" ht="15" customHeight="1">
      <c r="B135" s="97" t="s">
        <v>216</v>
      </c>
      <c r="C135" s="20"/>
      <c r="D135" s="20"/>
      <c r="E135" s="21">
        <v>118</v>
      </c>
      <c r="F135" s="79">
        <v>31</v>
      </c>
      <c r="G135" s="82">
        <v>46</v>
      </c>
      <c r="H135" s="79">
        <v>6</v>
      </c>
      <c r="I135" s="71">
        <v>15</v>
      </c>
      <c r="J135" s="71">
        <v>0</v>
      </c>
      <c r="K135" s="88">
        <v>0</v>
      </c>
      <c r="L135" s="85">
        <v>6</v>
      </c>
      <c r="M135" s="71">
        <v>1</v>
      </c>
      <c r="N135" s="71">
        <v>11</v>
      </c>
      <c r="O135" s="88">
        <v>19</v>
      </c>
      <c r="P135" s="85">
        <f>322-120-11</f>
        <v>191</v>
      </c>
      <c r="Q135" s="88">
        <f>361-120-11</f>
        <v>230</v>
      </c>
      <c r="R135" s="85">
        <f t="shared" si="6"/>
        <v>216</v>
      </c>
      <c r="S135" s="88">
        <f t="shared" si="7"/>
        <v>264</v>
      </c>
    </row>
    <row r="136" spans="2:19" ht="15" customHeight="1">
      <c r="B136" s="97" t="s">
        <v>217</v>
      </c>
      <c r="C136" s="20"/>
      <c r="D136" s="20"/>
      <c r="E136" s="22">
        <v>119</v>
      </c>
      <c r="F136" s="79">
        <v>97</v>
      </c>
      <c r="G136" s="82">
        <v>160</v>
      </c>
      <c r="H136" s="79">
        <v>33</v>
      </c>
      <c r="I136" s="71">
        <v>67</v>
      </c>
      <c r="J136" s="71">
        <v>2</v>
      </c>
      <c r="K136" s="88">
        <v>8</v>
      </c>
      <c r="L136" s="85">
        <v>20</v>
      </c>
      <c r="M136" s="71">
        <v>0</v>
      </c>
      <c r="N136" s="71">
        <v>36</v>
      </c>
      <c r="O136" s="88">
        <v>57</v>
      </c>
      <c r="P136" s="85">
        <f>796-223-39</f>
        <v>534</v>
      </c>
      <c r="Q136" s="88">
        <f>864-223-39</f>
        <v>602</v>
      </c>
      <c r="R136" s="85">
        <f t="shared" si="6"/>
        <v>626</v>
      </c>
      <c r="S136" s="88">
        <f t="shared" si="7"/>
        <v>734</v>
      </c>
    </row>
    <row r="137" spans="2:19" ht="15" customHeight="1">
      <c r="B137" s="97" t="s">
        <v>218</v>
      </c>
      <c r="C137" s="20">
        <v>1</v>
      </c>
      <c r="D137" s="20" t="s">
        <v>52</v>
      </c>
      <c r="E137" s="22">
        <v>120</v>
      </c>
      <c r="F137" s="79">
        <v>3</v>
      </c>
      <c r="G137" s="82">
        <v>3</v>
      </c>
      <c r="H137" s="79">
        <v>1</v>
      </c>
      <c r="I137" s="71">
        <v>2</v>
      </c>
      <c r="J137" s="71">
        <v>0</v>
      </c>
      <c r="K137" s="88">
        <v>0</v>
      </c>
      <c r="L137" s="85">
        <v>1</v>
      </c>
      <c r="M137" s="71">
        <v>0</v>
      </c>
      <c r="N137" s="71">
        <v>7</v>
      </c>
      <c r="O137" s="88">
        <v>8</v>
      </c>
      <c r="P137" s="85">
        <f>18-7</f>
        <v>11</v>
      </c>
      <c r="Q137" s="88">
        <f>29-7</f>
        <v>22</v>
      </c>
      <c r="R137" s="85">
        <f t="shared" si="6"/>
        <v>20</v>
      </c>
      <c r="S137" s="88">
        <f t="shared" si="7"/>
        <v>32</v>
      </c>
    </row>
    <row r="138" spans="2:19" ht="15" customHeight="1">
      <c r="B138" s="97" t="s">
        <v>219</v>
      </c>
      <c r="C138" s="20">
        <v>1</v>
      </c>
      <c r="D138" s="20" t="s">
        <v>47</v>
      </c>
      <c r="E138" s="21">
        <v>121</v>
      </c>
      <c r="F138" s="79">
        <v>15</v>
      </c>
      <c r="G138" s="82">
        <v>33</v>
      </c>
      <c r="H138" s="79">
        <v>6</v>
      </c>
      <c r="I138" s="71">
        <v>12</v>
      </c>
      <c r="J138" s="71">
        <v>0</v>
      </c>
      <c r="K138" s="88">
        <v>0</v>
      </c>
      <c r="L138" s="85">
        <v>3</v>
      </c>
      <c r="M138" s="71">
        <v>0</v>
      </c>
      <c r="N138" s="71">
        <v>8</v>
      </c>
      <c r="O138" s="88">
        <v>11</v>
      </c>
      <c r="P138" s="85">
        <f>51-12</f>
        <v>39</v>
      </c>
      <c r="Q138" s="88">
        <f>79-12</f>
        <v>67</v>
      </c>
      <c r="R138" s="85">
        <f t="shared" si="6"/>
        <v>56</v>
      </c>
      <c r="S138" s="88">
        <f t="shared" si="7"/>
        <v>90</v>
      </c>
    </row>
    <row r="139" spans="2:19" ht="15" customHeight="1">
      <c r="B139" s="97" t="s">
        <v>220</v>
      </c>
      <c r="C139" s="20">
        <v>1</v>
      </c>
      <c r="D139" s="20" t="s">
        <v>52</v>
      </c>
      <c r="E139" s="22">
        <v>122</v>
      </c>
      <c r="F139" s="79">
        <v>17</v>
      </c>
      <c r="G139" s="82">
        <v>32</v>
      </c>
      <c r="H139" s="79">
        <v>7</v>
      </c>
      <c r="I139" s="71">
        <v>17</v>
      </c>
      <c r="J139" s="71">
        <v>0</v>
      </c>
      <c r="K139" s="88">
        <v>0</v>
      </c>
      <c r="L139" s="85">
        <v>10</v>
      </c>
      <c r="M139" s="71">
        <v>0</v>
      </c>
      <c r="N139" s="71">
        <v>3</v>
      </c>
      <c r="O139" s="88">
        <v>13</v>
      </c>
      <c r="P139" s="85">
        <f>167-36-17</f>
        <v>114</v>
      </c>
      <c r="Q139" s="88">
        <f>206-36-17</f>
        <v>153</v>
      </c>
      <c r="R139" s="85">
        <f t="shared" si="6"/>
        <v>134</v>
      </c>
      <c r="S139" s="88">
        <f t="shared" si="7"/>
        <v>183</v>
      </c>
    </row>
    <row r="140" spans="2:19" ht="15" customHeight="1">
      <c r="B140" s="97" t="s">
        <v>221</v>
      </c>
      <c r="C140" s="20">
        <v>1</v>
      </c>
      <c r="D140" s="20" t="s">
        <v>47</v>
      </c>
      <c r="E140" s="22">
        <v>123</v>
      </c>
      <c r="F140" s="79">
        <v>6</v>
      </c>
      <c r="G140" s="82">
        <v>17</v>
      </c>
      <c r="H140" s="79">
        <v>3</v>
      </c>
      <c r="I140" s="71">
        <v>9</v>
      </c>
      <c r="J140" s="71">
        <v>0</v>
      </c>
      <c r="K140" s="88">
        <v>0</v>
      </c>
      <c r="L140" s="85">
        <v>0</v>
      </c>
      <c r="M140" s="71">
        <v>0</v>
      </c>
      <c r="N140" s="71">
        <v>1</v>
      </c>
      <c r="O140" s="88">
        <v>1</v>
      </c>
      <c r="P140" s="85">
        <f>34-1</f>
        <v>33</v>
      </c>
      <c r="Q140" s="88">
        <f>54-1</f>
        <v>53</v>
      </c>
      <c r="R140" s="85">
        <f t="shared" si="6"/>
        <v>37</v>
      </c>
      <c r="S140" s="88">
        <f t="shared" si="7"/>
        <v>63</v>
      </c>
    </row>
    <row r="141" spans="2:19" ht="15" customHeight="1">
      <c r="B141" s="97" t="s">
        <v>222</v>
      </c>
      <c r="C141" s="20"/>
      <c r="D141" s="20"/>
      <c r="E141" s="21">
        <v>124</v>
      </c>
      <c r="F141" s="79">
        <v>206</v>
      </c>
      <c r="G141" s="82">
        <v>412</v>
      </c>
      <c r="H141" s="79">
        <v>78</v>
      </c>
      <c r="I141" s="71">
        <v>189</v>
      </c>
      <c r="J141" s="71">
        <v>3</v>
      </c>
      <c r="K141" s="88">
        <v>15</v>
      </c>
      <c r="L141" s="85">
        <v>5</v>
      </c>
      <c r="M141" s="71">
        <v>0</v>
      </c>
      <c r="N141" s="71">
        <v>50</v>
      </c>
      <c r="O141" s="88">
        <v>55</v>
      </c>
      <c r="P141" s="85">
        <f>528-114-11</f>
        <v>403</v>
      </c>
      <c r="Q141" s="88">
        <f>700-114-11</f>
        <v>575</v>
      </c>
      <c r="R141" s="85">
        <f t="shared" si="6"/>
        <v>539</v>
      </c>
      <c r="S141" s="88">
        <f t="shared" si="7"/>
        <v>834</v>
      </c>
    </row>
    <row r="142" spans="2:19" ht="15" customHeight="1">
      <c r="B142" s="97" t="s">
        <v>223</v>
      </c>
      <c r="C142" s="20">
        <v>1</v>
      </c>
      <c r="D142" s="20" t="s">
        <v>52</v>
      </c>
      <c r="E142" s="22">
        <v>125</v>
      </c>
      <c r="F142" s="79">
        <v>8</v>
      </c>
      <c r="G142" s="82">
        <v>17</v>
      </c>
      <c r="H142" s="79">
        <v>2</v>
      </c>
      <c r="I142" s="71">
        <v>6</v>
      </c>
      <c r="J142" s="71">
        <v>0</v>
      </c>
      <c r="K142" s="88">
        <v>1</v>
      </c>
      <c r="L142" s="85">
        <v>1</v>
      </c>
      <c r="M142" s="71">
        <v>0</v>
      </c>
      <c r="N142" s="71">
        <v>1</v>
      </c>
      <c r="O142" s="88">
        <v>2</v>
      </c>
      <c r="P142" s="85">
        <f>89-18-6</f>
        <v>65</v>
      </c>
      <c r="Q142" s="88">
        <f>114-18-6</f>
        <v>90</v>
      </c>
      <c r="R142" s="85">
        <f t="shared" si="6"/>
        <v>69</v>
      </c>
      <c r="S142" s="88">
        <f t="shared" si="7"/>
        <v>99</v>
      </c>
    </row>
    <row r="143" spans="2:19" ht="15" customHeight="1">
      <c r="B143" s="97" t="s">
        <v>224</v>
      </c>
      <c r="C143" s="20"/>
      <c r="D143" s="20"/>
      <c r="E143" s="22">
        <v>126</v>
      </c>
      <c r="F143" s="79">
        <v>252</v>
      </c>
      <c r="G143" s="82">
        <v>473</v>
      </c>
      <c r="H143" s="79">
        <v>99</v>
      </c>
      <c r="I143" s="71">
        <v>240</v>
      </c>
      <c r="J143" s="71">
        <v>4</v>
      </c>
      <c r="K143" s="88">
        <v>14</v>
      </c>
      <c r="L143" s="85">
        <v>52</v>
      </c>
      <c r="M143" s="71">
        <v>1</v>
      </c>
      <c r="N143" s="71">
        <v>82</v>
      </c>
      <c r="O143" s="88">
        <v>136</v>
      </c>
      <c r="P143" s="85">
        <f>1233-295-24</f>
        <v>914</v>
      </c>
      <c r="Q143" s="88">
        <f>1444-295-24</f>
        <v>1125</v>
      </c>
      <c r="R143" s="85">
        <f t="shared" si="6"/>
        <v>1153</v>
      </c>
      <c r="S143" s="88">
        <f t="shared" si="7"/>
        <v>1515</v>
      </c>
    </row>
    <row r="144" spans="2:19" ht="15" customHeight="1">
      <c r="B144" s="97" t="s">
        <v>225</v>
      </c>
      <c r="C144" s="20">
        <v>1</v>
      </c>
      <c r="D144" s="20" t="s">
        <v>52</v>
      </c>
      <c r="E144" s="21">
        <v>127</v>
      </c>
      <c r="F144" s="79">
        <v>5</v>
      </c>
      <c r="G144" s="82">
        <v>6</v>
      </c>
      <c r="H144" s="79">
        <v>3</v>
      </c>
      <c r="I144" s="71">
        <v>4</v>
      </c>
      <c r="J144" s="71">
        <v>0</v>
      </c>
      <c r="K144" s="88">
        <v>0</v>
      </c>
      <c r="L144" s="85">
        <v>1</v>
      </c>
      <c r="M144" s="71">
        <v>0</v>
      </c>
      <c r="N144" s="71">
        <v>2</v>
      </c>
      <c r="O144" s="88">
        <v>3</v>
      </c>
      <c r="P144" s="85">
        <f>27-4</f>
        <v>23</v>
      </c>
      <c r="Q144" s="88">
        <f>39-4</f>
        <v>35</v>
      </c>
      <c r="R144" s="85">
        <f t="shared" si="6"/>
        <v>29</v>
      </c>
      <c r="S144" s="88">
        <f t="shared" si="7"/>
        <v>42</v>
      </c>
    </row>
    <row r="145" spans="2:19" ht="15" customHeight="1">
      <c r="B145" s="97" t="s">
        <v>226</v>
      </c>
      <c r="C145" s="20"/>
      <c r="D145" s="20"/>
      <c r="E145" s="22">
        <v>128</v>
      </c>
      <c r="F145" s="79">
        <v>39</v>
      </c>
      <c r="G145" s="82">
        <v>68</v>
      </c>
      <c r="H145" s="79">
        <v>10</v>
      </c>
      <c r="I145" s="71">
        <v>21</v>
      </c>
      <c r="J145" s="71">
        <v>0</v>
      </c>
      <c r="K145" s="88">
        <v>0</v>
      </c>
      <c r="L145" s="85">
        <v>12</v>
      </c>
      <c r="M145" s="71">
        <v>0</v>
      </c>
      <c r="N145" s="71">
        <v>23</v>
      </c>
      <c r="O145" s="88">
        <v>35</v>
      </c>
      <c r="P145" s="85">
        <f>382-98-20</f>
        <v>264</v>
      </c>
      <c r="Q145" s="88">
        <f>434-98-20</f>
        <v>316</v>
      </c>
      <c r="R145" s="85">
        <f t="shared" si="6"/>
        <v>309</v>
      </c>
      <c r="S145" s="88">
        <f t="shared" si="7"/>
        <v>372</v>
      </c>
    </row>
    <row r="146" spans="2:19" ht="15" customHeight="1">
      <c r="B146" s="97" t="s">
        <v>227</v>
      </c>
      <c r="C146" s="20"/>
      <c r="D146" s="20"/>
      <c r="E146" s="22">
        <v>129</v>
      </c>
      <c r="F146" s="79">
        <v>35</v>
      </c>
      <c r="G146" s="82">
        <v>75</v>
      </c>
      <c r="H146" s="79">
        <v>14</v>
      </c>
      <c r="I146" s="71">
        <v>33</v>
      </c>
      <c r="J146" s="71">
        <v>0</v>
      </c>
      <c r="K146" s="88">
        <v>1</v>
      </c>
      <c r="L146" s="85">
        <v>4</v>
      </c>
      <c r="M146" s="71">
        <v>1</v>
      </c>
      <c r="N146" s="71">
        <v>12</v>
      </c>
      <c r="O146" s="88">
        <v>18</v>
      </c>
      <c r="P146" s="85">
        <f>140-35-2</f>
        <v>103</v>
      </c>
      <c r="Q146" s="88">
        <f>184-35-2</f>
        <v>147</v>
      </c>
      <c r="R146" s="85">
        <f aca="true" t="shared" si="8" ref="R146:R177">SUM(H146,J146,O146,P146)</f>
        <v>135</v>
      </c>
      <c r="S146" s="88">
        <f aca="true" t="shared" si="9" ref="S146:S177">SUM(I146,K146,O146,Q146)</f>
        <v>199</v>
      </c>
    </row>
    <row r="147" spans="2:19" ht="15" customHeight="1">
      <c r="B147" s="97" t="s">
        <v>228</v>
      </c>
      <c r="C147" s="20"/>
      <c r="D147" s="20"/>
      <c r="E147" s="22">
        <v>132</v>
      </c>
      <c r="F147" s="79">
        <v>80</v>
      </c>
      <c r="G147" s="82">
        <v>139</v>
      </c>
      <c r="H147" s="79">
        <v>34</v>
      </c>
      <c r="I147" s="71">
        <v>73</v>
      </c>
      <c r="J147" s="71">
        <v>2</v>
      </c>
      <c r="K147" s="88">
        <v>10</v>
      </c>
      <c r="L147" s="85">
        <v>15</v>
      </c>
      <c r="M147" s="71">
        <v>1</v>
      </c>
      <c r="N147" s="71">
        <v>31</v>
      </c>
      <c r="O147" s="88">
        <v>48</v>
      </c>
      <c r="P147" s="85">
        <f>436-108-17</f>
        <v>311</v>
      </c>
      <c r="Q147" s="88">
        <f>530-108-17</f>
        <v>405</v>
      </c>
      <c r="R147" s="85">
        <f t="shared" si="8"/>
        <v>395</v>
      </c>
      <c r="S147" s="88">
        <f t="shared" si="9"/>
        <v>536</v>
      </c>
    </row>
    <row r="148" spans="2:19" ht="15" customHeight="1">
      <c r="B148" s="97" t="s">
        <v>229</v>
      </c>
      <c r="C148" s="20"/>
      <c r="D148" s="20"/>
      <c r="E148" s="21">
        <v>130</v>
      </c>
      <c r="F148" s="79">
        <v>33</v>
      </c>
      <c r="G148" s="82">
        <v>62</v>
      </c>
      <c r="H148" s="79">
        <v>15</v>
      </c>
      <c r="I148" s="71">
        <v>32</v>
      </c>
      <c r="J148" s="71">
        <v>0</v>
      </c>
      <c r="K148" s="88">
        <v>0</v>
      </c>
      <c r="L148" s="85">
        <v>13</v>
      </c>
      <c r="M148" s="71">
        <v>1</v>
      </c>
      <c r="N148" s="71">
        <v>30</v>
      </c>
      <c r="O148" s="88">
        <v>44</v>
      </c>
      <c r="P148" s="85">
        <f>1494-620-15</f>
        <v>859</v>
      </c>
      <c r="Q148" s="88">
        <f>1538-620-15</f>
        <v>903</v>
      </c>
      <c r="R148" s="85">
        <f t="shared" si="8"/>
        <v>918</v>
      </c>
      <c r="S148" s="88">
        <f t="shared" si="9"/>
        <v>979</v>
      </c>
    </row>
    <row r="149" spans="2:19" ht="15" customHeight="1">
      <c r="B149" s="97" t="s">
        <v>230</v>
      </c>
      <c r="C149" s="20"/>
      <c r="D149" s="20"/>
      <c r="E149" s="22">
        <v>131</v>
      </c>
      <c r="F149" s="79">
        <v>292</v>
      </c>
      <c r="G149" s="82">
        <v>517</v>
      </c>
      <c r="H149" s="79">
        <v>93</v>
      </c>
      <c r="I149" s="71">
        <v>206</v>
      </c>
      <c r="J149" s="71">
        <v>2</v>
      </c>
      <c r="K149" s="88">
        <v>10</v>
      </c>
      <c r="L149" s="85">
        <v>25</v>
      </c>
      <c r="M149" s="71">
        <v>2</v>
      </c>
      <c r="N149" s="71">
        <v>68</v>
      </c>
      <c r="O149" s="88">
        <v>96</v>
      </c>
      <c r="P149" s="85">
        <f>1301-356-45</f>
        <v>900</v>
      </c>
      <c r="Q149" s="88">
        <f>1639-356-45</f>
        <v>1238</v>
      </c>
      <c r="R149" s="85">
        <f t="shared" si="8"/>
        <v>1091</v>
      </c>
      <c r="S149" s="88">
        <f t="shared" si="9"/>
        <v>1550</v>
      </c>
    </row>
    <row r="150" spans="2:19" ht="15" customHeight="1">
      <c r="B150" s="97" t="s">
        <v>231</v>
      </c>
      <c r="C150" s="20">
        <v>1</v>
      </c>
      <c r="D150" s="20" t="s">
        <v>47</v>
      </c>
      <c r="E150" s="21">
        <v>133</v>
      </c>
      <c r="F150" s="79">
        <v>47</v>
      </c>
      <c r="G150" s="82">
        <v>99</v>
      </c>
      <c r="H150" s="79">
        <v>17</v>
      </c>
      <c r="I150" s="71">
        <v>35</v>
      </c>
      <c r="J150" s="71">
        <v>0</v>
      </c>
      <c r="K150" s="88">
        <v>3</v>
      </c>
      <c r="L150" s="85">
        <v>5</v>
      </c>
      <c r="M150" s="71">
        <v>0</v>
      </c>
      <c r="N150" s="71">
        <v>13</v>
      </c>
      <c r="O150" s="88">
        <v>18</v>
      </c>
      <c r="P150" s="85">
        <f>174-37-1</f>
        <v>136</v>
      </c>
      <c r="Q150" s="88">
        <f>240-38</f>
        <v>202</v>
      </c>
      <c r="R150" s="85">
        <f t="shared" si="8"/>
        <v>171</v>
      </c>
      <c r="S150" s="88">
        <f t="shared" si="9"/>
        <v>258</v>
      </c>
    </row>
    <row r="151" spans="2:19" ht="15" customHeight="1">
      <c r="B151" s="97" t="s">
        <v>232</v>
      </c>
      <c r="C151" s="20"/>
      <c r="D151" s="20"/>
      <c r="E151" s="22">
        <v>134</v>
      </c>
      <c r="F151" s="79">
        <v>162</v>
      </c>
      <c r="G151" s="82">
        <v>310</v>
      </c>
      <c r="H151" s="79">
        <v>65</v>
      </c>
      <c r="I151" s="71">
        <v>146</v>
      </c>
      <c r="J151" s="71">
        <v>3</v>
      </c>
      <c r="K151" s="88">
        <v>13</v>
      </c>
      <c r="L151" s="85">
        <v>8</v>
      </c>
      <c r="M151" s="71">
        <v>0</v>
      </c>
      <c r="N151" s="71">
        <v>33</v>
      </c>
      <c r="O151" s="88">
        <v>41</v>
      </c>
      <c r="P151" s="85">
        <f>527-124-14</f>
        <v>389</v>
      </c>
      <c r="Q151" s="88">
        <f>711-124-14</f>
        <v>573</v>
      </c>
      <c r="R151" s="85">
        <f t="shared" si="8"/>
        <v>498</v>
      </c>
      <c r="S151" s="88">
        <f t="shared" si="9"/>
        <v>773</v>
      </c>
    </row>
    <row r="152" spans="2:19" ht="15" customHeight="1">
      <c r="B152" s="97" t="s">
        <v>233</v>
      </c>
      <c r="C152" s="20" t="s">
        <v>63</v>
      </c>
      <c r="D152" s="20"/>
      <c r="E152" s="22">
        <v>135</v>
      </c>
      <c r="F152" s="79">
        <v>1975</v>
      </c>
      <c r="G152" s="82">
        <v>3672</v>
      </c>
      <c r="H152" s="79">
        <v>778</v>
      </c>
      <c r="I152" s="71">
        <v>1731</v>
      </c>
      <c r="J152" s="71">
        <v>7</v>
      </c>
      <c r="K152" s="88">
        <v>30</v>
      </c>
      <c r="L152" s="85">
        <v>424</v>
      </c>
      <c r="M152" s="71">
        <v>3</v>
      </c>
      <c r="N152" s="71">
        <v>488</v>
      </c>
      <c r="O152" s="88">
        <v>916</v>
      </c>
      <c r="P152" s="85">
        <f>5556-1318-145</f>
        <v>4093</v>
      </c>
      <c r="Q152" s="88">
        <f>7359-1320-145</f>
        <v>5894</v>
      </c>
      <c r="R152" s="85">
        <f t="shared" si="8"/>
        <v>5794</v>
      </c>
      <c r="S152" s="88">
        <f t="shared" si="9"/>
        <v>8571</v>
      </c>
    </row>
    <row r="153" spans="2:19" ht="15" customHeight="1">
      <c r="B153" s="97" t="s">
        <v>234</v>
      </c>
      <c r="C153" s="20">
        <v>1</v>
      </c>
      <c r="D153" s="20" t="s">
        <v>47</v>
      </c>
      <c r="E153" s="21">
        <v>136</v>
      </c>
      <c r="F153" s="79">
        <v>35</v>
      </c>
      <c r="G153" s="82">
        <v>71</v>
      </c>
      <c r="H153" s="79">
        <v>21</v>
      </c>
      <c r="I153" s="71">
        <v>45</v>
      </c>
      <c r="J153" s="71">
        <v>1</v>
      </c>
      <c r="K153" s="88">
        <v>4</v>
      </c>
      <c r="L153" s="85">
        <v>2</v>
      </c>
      <c r="M153" s="71">
        <v>0</v>
      </c>
      <c r="N153" s="71">
        <v>10</v>
      </c>
      <c r="O153" s="88">
        <v>12</v>
      </c>
      <c r="P153" s="85">
        <f>106-17-4</f>
        <v>85</v>
      </c>
      <c r="Q153" s="88">
        <f>144-17-4</f>
        <v>123</v>
      </c>
      <c r="R153" s="85">
        <f t="shared" si="8"/>
        <v>119</v>
      </c>
      <c r="S153" s="88">
        <f t="shared" si="9"/>
        <v>184</v>
      </c>
    </row>
    <row r="154" spans="2:19" ht="15" customHeight="1">
      <c r="B154" s="97" t="s">
        <v>235</v>
      </c>
      <c r="C154" s="20"/>
      <c r="D154" s="20"/>
      <c r="E154" s="22">
        <v>137</v>
      </c>
      <c r="F154" s="79">
        <v>221</v>
      </c>
      <c r="G154" s="82">
        <v>410</v>
      </c>
      <c r="H154" s="79">
        <v>76</v>
      </c>
      <c r="I154" s="71">
        <v>177</v>
      </c>
      <c r="J154" s="71">
        <v>7</v>
      </c>
      <c r="K154" s="88">
        <v>31</v>
      </c>
      <c r="L154" s="85">
        <v>15</v>
      </c>
      <c r="M154" s="71">
        <v>0</v>
      </c>
      <c r="N154" s="71">
        <v>91</v>
      </c>
      <c r="O154" s="88">
        <v>107</v>
      </c>
      <c r="P154" s="85">
        <f>887-252-46</f>
        <v>589</v>
      </c>
      <c r="Q154" s="88">
        <f>1064-252-46</f>
        <v>766</v>
      </c>
      <c r="R154" s="85">
        <f t="shared" si="8"/>
        <v>779</v>
      </c>
      <c r="S154" s="88">
        <f t="shared" si="9"/>
        <v>1081</v>
      </c>
    </row>
    <row r="155" spans="2:19" ht="15" customHeight="1">
      <c r="B155" s="97" t="s">
        <v>0</v>
      </c>
      <c r="C155" s="20"/>
      <c r="D155" s="20"/>
      <c r="E155" s="22">
        <v>138</v>
      </c>
      <c r="F155" s="79">
        <v>578</v>
      </c>
      <c r="G155" s="82">
        <v>1244</v>
      </c>
      <c r="H155" s="79">
        <v>282</v>
      </c>
      <c r="I155" s="71">
        <v>640</v>
      </c>
      <c r="J155" s="71">
        <v>8</v>
      </c>
      <c r="K155" s="88">
        <v>36</v>
      </c>
      <c r="L155" s="85">
        <v>38</v>
      </c>
      <c r="M155" s="71">
        <v>0</v>
      </c>
      <c r="N155" s="71">
        <v>132</v>
      </c>
      <c r="O155" s="88">
        <v>170</v>
      </c>
      <c r="P155" s="85">
        <f>1784-379-32</f>
        <v>1373</v>
      </c>
      <c r="Q155" s="88">
        <f>2393-379-32</f>
        <v>1982</v>
      </c>
      <c r="R155" s="85">
        <f t="shared" si="8"/>
        <v>1833</v>
      </c>
      <c r="S155" s="88">
        <f t="shared" si="9"/>
        <v>2828</v>
      </c>
    </row>
    <row r="156" spans="2:19" ht="15" customHeight="1">
      <c r="B156" s="97" t="s">
        <v>1</v>
      </c>
      <c r="C156" s="20"/>
      <c r="D156" s="20"/>
      <c r="E156" s="21">
        <v>139</v>
      </c>
      <c r="F156" s="79">
        <v>60</v>
      </c>
      <c r="G156" s="82">
        <v>100</v>
      </c>
      <c r="H156" s="79">
        <v>19</v>
      </c>
      <c r="I156" s="71">
        <v>46</v>
      </c>
      <c r="J156" s="71">
        <v>0</v>
      </c>
      <c r="K156" s="88">
        <v>2</v>
      </c>
      <c r="L156" s="85">
        <v>6</v>
      </c>
      <c r="M156" s="71">
        <v>0</v>
      </c>
      <c r="N156" s="71">
        <v>20</v>
      </c>
      <c r="O156" s="88">
        <v>27</v>
      </c>
      <c r="P156" s="85">
        <f>260-68-14</f>
        <v>178</v>
      </c>
      <c r="Q156" s="88">
        <f>299-68-14</f>
        <v>217</v>
      </c>
      <c r="R156" s="85">
        <f t="shared" si="8"/>
        <v>224</v>
      </c>
      <c r="S156" s="88">
        <f t="shared" si="9"/>
        <v>292</v>
      </c>
    </row>
    <row r="157" spans="2:19" ht="15" customHeight="1">
      <c r="B157" s="97" t="s">
        <v>2</v>
      </c>
      <c r="C157" s="20">
        <v>1</v>
      </c>
      <c r="D157" s="20" t="s">
        <v>52</v>
      </c>
      <c r="E157" s="22">
        <v>140</v>
      </c>
      <c r="F157" s="79">
        <v>50</v>
      </c>
      <c r="G157" s="82">
        <v>90</v>
      </c>
      <c r="H157" s="79">
        <v>16</v>
      </c>
      <c r="I157" s="71">
        <v>33</v>
      </c>
      <c r="J157" s="71">
        <v>0</v>
      </c>
      <c r="K157" s="88">
        <v>1</v>
      </c>
      <c r="L157" s="85">
        <v>1</v>
      </c>
      <c r="M157" s="71">
        <v>0</v>
      </c>
      <c r="N157" s="71">
        <v>16</v>
      </c>
      <c r="O157" s="88">
        <v>17</v>
      </c>
      <c r="P157" s="85">
        <f>206-45-13</f>
        <v>148</v>
      </c>
      <c r="Q157" s="88">
        <f>285-45-13</f>
        <v>227</v>
      </c>
      <c r="R157" s="85">
        <f t="shared" si="8"/>
        <v>181</v>
      </c>
      <c r="S157" s="88">
        <f t="shared" si="9"/>
        <v>278</v>
      </c>
    </row>
    <row r="158" spans="2:19" ht="15" customHeight="1">
      <c r="B158" s="97" t="s">
        <v>3</v>
      </c>
      <c r="C158" s="20">
        <v>1</v>
      </c>
      <c r="D158" s="20" t="s">
        <v>47</v>
      </c>
      <c r="E158" s="22">
        <v>141</v>
      </c>
      <c r="F158" s="79">
        <v>119</v>
      </c>
      <c r="G158" s="82">
        <v>234</v>
      </c>
      <c r="H158" s="79">
        <v>42</v>
      </c>
      <c r="I158" s="71">
        <v>92</v>
      </c>
      <c r="J158" s="71">
        <v>3</v>
      </c>
      <c r="K158" s="88">
        <v>15</v>
      </c>
      <c r="L158" s="85">
        <v>10</v>
      </c>
      <c r="M158" s="71">
        <v>0</v>
      </c>
      <c r="N158" s="71">
        <v>27</v>
      </c>
      <c r="O158" s="88">
        <v>38</v>
      </c>
      <c r="P158" s="85">
        <f>366-101-10</f>
        <v>255</v>
      </c>
      <c r="Q158" s="88">
        <f>478-101-10</f>
        <v>367</v>
      </c>
      <c r="R158" s="85">
        <f t="shared" si="8"/>
        <v>338</v>
      </c>
      <c r="S158" s="88">
        <f t="shared" si="9"/>
        <v>512</v>
      </c>
    </row>
    <row r="159" spans="2:19" ht="15" customHeight="1">
      <c r="B159" s="97" t="s">
        <v>4</v>
      </c>
      <c r="C159" s="20"/>
      <c r="D159" s="20"/>
      <c r="E159" s="21">
        <v>142</v>
      </c>
      <c r="F159" s="79">
        <v>26</v>
      </c>
      <c r="G159" s="82">
        <v>45</v>
      </c>
      <c r="H159" s="79">
        <v>16</v>
      </c>
      <c r="I159" s="71">
        <v>29</v>
      </c>
      <c r="J159" s="71">
        <v>0</v>
      </c>
      <c r="K159" s="88">
        <v>0</v>
      </c>
      <c r="L159" s="85">
        <v>3</v>
      </c>
      <c r="M159" s="71">
        <v>0</v>
      </c>
      <c r="N159" s="71">
        <v>15</v>
      </c>
      <c r="O159" s="88">
        <v>18</v>
      </c>
      <c r="P159" s="85">
        <f>212-46-14</f>
        <v>152</v>
      </c>
      <c r="Q159" s="88">
        <f>244-46-14</f>
        <v>184</v>
      </c>
      <c r="R159" s="85">
        <f t="shared" si="8"/>
        <v>186</v>
      </c>
      <c r="S159" s="88">
        <f t="shared" si="9"/>
        <v>231</v>
      </c>
    </row>
    <row r="160" spans="2:19" ht="15" customHeight="1">
      <c r="B160" s="97" t="s">
        <v>5</v>
      </c>
      <c r="C160" s="20"/>
      <c r="D160" s="20"/>
      <c r="E160" s="22">
        <v>143</v>
      </c>
      <c r="F160" s="79">
        <v>652</v>
      </c>
      <c r="G160" s="82">
        <v>1216</v>
      </c>
      <c r="H160" s="79">
        <v>210</v>
      </c>
      <c r="I160" s="71">
        <v>504</v>
      </c>
      <c r="J160" s="71">
        <v>9</v>
      </c>
      <c r="K160" s="88">
        <v>37</v>
      </c>
      <c r="L160" s="85">
        <v>46</v>
      </c>
      <c r="M160" s="71">
        <v>3</v>
      </c>
      <c r="N160" s="71">
        <v>253</v>
      </c>
      <c r="O160" s="88">
        <v>302</v>
      </c>
      <c r="P160" s="85">
        <f>2547-769-129</f>
        <v>1649</v>
      </c>
      <c r="Q160" s="88">
        <f>3233-769-129</f>
        <v>2335</v>
      </c>
      <c r="R160" s="85">
        <f t="shared" si="8"/>
        <v>2170</v>
      </c>
      <c r="S160" s="88">
        <f t="shared" si="9"/>
        <v>3178</v>
      </c>
    </row>
    <row r="161" spans="2:19" ht="15" customHeight="1">
      <c r="B161" s="97" t="s">
        <v>6</v>
      </c>
      <c r="C161" s="20"/>
      <c r="D161" s="20"/>
      <c r="E161" s="22">
        <v>144</v>
      </c>
      <c r="F161" s="79">
        <v>107</v>
      </c>
      <c r="G161" s="82">
        <v>196</v>
      </c>
      <c r="H161" s="79">
        <v>39</v>
      </c>
      <c r="I161" s="71">
        <v>93</v>
      </c>
      <c r="J161" s="71">
        <v>0</v>
      </c>
      <c r="K161" s="88">
        <v>1</v>
      </c>
      <c r="L161" s="85">
        <v>30</v>
      </c>
      <c r="M161" s="71">
        <v>0</v>
      </c>
      <c r="N161" s="71">
        <v>49</v>
      </c>
      <c r="O161" s="88">
        <v>79</v>
      </c>
      <c r="P161" s="85">
        <f>848-225-34</f>
        <v>589</v>
      </c>
      <c r="Q161" s="88">
        <f>947-225-34</f>
        <v>688</v>
      </c>
      <c r="R161" s="85">
        <f t="shared" si="8"/>
        <v>707</v>
      </c>
      <c r="S161" s="88">
        <f t="shared" si="9"/>
        <v>861</v>
      </c>
    </row>
    <row r="162" spans="2:19" ht="15" customHeight="1">
      <c r="B162" s="97" t="s">
        <v>7</v>
      </c>
      <c r="C162" s="20">
        <v>1</v>
      </c>
      <c r="D162" s="20" t="s">
        <v>47</v>
      </c>
      <c r="E162" s="21">
        <v>145</v>
      </c>
      <c r="F162" s="79">
        <v>3</v>
      </c>
      <c r="G162" s="82">
        <v>8</v>
      </c>
      <c r="H162" s="79">
        <v>1</v>
      </c>
      <c r="I162" s="71">
        <v>3</v>
      </c>
      <c r="J162" s="71">
        <v>0</v>
      </c>
      <c r="K162" s="88">
        <v>0</v>
      </c>
      <c r="L162" s="85">
        <v>1</v>
      </c>
      <c r="M162" s="71">
        <v>0</v>
      </c>
      <c r="N162" s="71">
        <v>0</v>
      </c>
      <c r="O162" s="88">
        <v>1</v>
      </c>
      <c r="P162" s="85">
        <v>5</v>
      </c>
      <c r="Q162" s="88">
        <v>9</v>
      </c>
      <c r="R162" s="85">
        <f t="shared" si="8"/>
        <v>7</v>
      </c>
      <c r="S162" s="88">
        <f t="shared" si="9"/>
        <v>13</v>
      </c>
    </row>
    <row r="163" spans="2:19" ht="15" customHeight="1">
      <c r="B163" s="97" t="s">
        <v>8</v>
      </c>
      <c r="C163" s="20"/>
      <c r="D163" s="20"/>
      <c r="E163" s="22">
        <v>146</v>
      </c>
      <c r="F163" s="79">
        <v>574</v>
      </c>
      <c r="G163" s="82">
        <v>1209</v>
      </c>
      <c r="H163" s="79">
        <v>235</v>
      </c>
      <c r="I163" s="71">
        <v>572</v>
      </c>
      <c r="J163" s="71">
        <v>12</v>
      </c>
      <c r="K163" s="88">
        <v>56</v>
      </c>
      <c r="L163" s="85">
        <v>37</v>
      </c>
      <c r="M163" s="71">
        <v>4</v>
      </c>
      <c r="N163" s="71">
        <v>196</v>
      </c>
      <c r="O163" s="88">
        <v>237</v>
      </c>
      <c r="P163" s="85">
        <f>1518-391-87</f>
        <v>1040</v>
      </c>
      <c r="Q163" s="88">
        <f>2024-391-87</f>
        <v>1546</v>
      </c>
      <c r="R163" s="85">
        <f t="shared" si="8"/>
        <v>1524</v>
      </c>
      <c r="S163" s="88">
        <f t="shared" si="9"/>
        <v>2411</v>
      </c>
    </row>
    <row r="164" spans="2:19" ht="15" customHeight="1">
      <c r="B164" s="97" t="s">
        <v>9</v>
      </c>
      <c r="C164" s="20">
        <v>1</v>
      </c>
      <c r="D164" s="20" t="s">
        <v>47</v>
      </c>
      <c r="E164" s="22">
        <v>147</v>
      </c>
      <c r="F164" s="79">
        <v>28</v>
      </c>
      <c r="G164" s="82">
        <v>54</v>
      </c>
      <c r="H164" s="79">
        <v>7</v>
      </c>
      <c r="I164" s="71">
        <v>18</v>
      </c>
      <c r="J164" s="71">
        <v>0</v>
      </c>
      <c r="K164" s="88">
        <v>1</v>
      </c>
      <c r="L164" s="85">
        <v>1</v>
      </c>
      <c r="M164" s="71">
        <v>0</v>
      </c>
      <c r="N164" s="71">
        <v>7</v>
      </c>
      <c r="O164" s="88">
        <v>8</v>
      </c>
      <c r="P164" s="85">
        <f>96-28</f>
        <v>68</v>
      </c>
      <c r="Q164" s="88">
        <f>127-28</f>
        <v>99</v>
      </c>
      <c r="R164" s="85">
        <f t="shared" si="8"/>
        <v>83</v>
      </c>
      <c r="S164" s="88">
        <f t="shared" si="9"/>
        <v>126</v>
      </c>
    </row>
    <row r="165" spans="2:19" ht="15" customHeight="1">
      <c r="B165" s="97" t="s">
        <v>10</v>
      </c>
      <c r="C165" s="20"/>
      <c r="D165" s="20"/>
      <c r="E165" s="21">
        <v>148</v>
      </c>
      <c r="F165" s="79">
        <v>417</v>
      </c>
      <c r="G165" s="82">
        <v>810</v>
      </c>
      <c r="H165" s="79">
        <v>152</v>
      </c>
      <c r="I165" s="71">
        <v>330</v>
      </c>
      <c r="J165" s="71">
        <v>4</v>
      </c>
      <c r="K165" s="88">
        <v>16</v>
      </c>
      <c r="L165" s="85">
        <v>81</v>
      </c>
      <c r="M165" s="71">
        <v>1</v>
      </c>
      <c r="N165" s="71">
        <v>124</v>
      </c>
      <c r="O165" s="88">
        <v>207</v>
      </c>
      <c r="P165" s="85">
        <f>1975-509-140</f>
        <v>1326</v>
      </c>
      <c r="Q165" s="88">
        <f>2429-509-140</f>
        <v>1780</v>
      </c>
      <c r="R165" s="85">
        <f t="shared" si="8"/>
        <v>1689</v>
      </c>
      <c r="S165" s="88">
        <f t="shared" si="9"/>
        <v>2333</v>
      </c>
    </row>
    <row r="166" spans="2:19" ht="15" customHeight="1">
      <c r="B166" s="97" t="s">
        <v>11</v>
      </c>
      <c r="C166" s="20">
        <v>1</v>
      </c>
      <c r="D166" s="20" t="s">
        <v>52</v>
      </c>
      <c r="E166" s="22">
        <v>149</v>
      </c>
      <c r="F166" s="79">
        <v>0</v>
      </c>
      <c r="G166" s="82">
        <v>1</v>
      </c>
      <c r="H166" s="79">
        <v>0</v>
      </c>
      <c r="I166" s="71">
        <v>1</v>
      </c>
      <c r="J166" s="71">
        <v>0</v>
      </c>
      <c r="K166" s="88">
        <v>0</v>
      </c>
      <c r="L166" s="85">
        <v>0</v>
      </c>
      <c r="M166" s="71">
        <v>0</v>
      </c>
      <c r="N166" s="71">
        <v>0</v>
      </c>
      <c r="O166" s="88">
        <v>0</v>
      </c>
      <c r="P166" s="85">
        <f>9-1</f>
        <v>8</v>
      </c>
      <c r="Q166" s="88">
        <f>13-1</f>
        <v>12</v>
      </c>
      <c r="R166" s="85">
        <f t="shared" si="8"/>
        <v>8</v>
      </c>
      <c r="S166" s="88">
        <f t="shared" si="9"/>
        <v>13</v>
      </c>
    </row>
    <row r="167" spans="2:19" ht="15" customHeight="1">
      <c r="B167" s="97" t="s">
        <v>12</v>
      </c>
      <c r="C167" s="20">
        <v>1</v>
      </c>
      <c r="D167" s="20" t="s">
        <v>52</v>
      </c>
      <c r="E167" s="22">
        <v>150</v>
      </c>
      <c r="F167" s="79">
        <v>13</v>
      </c>
      <c r="G167" s="82">
        <v>27</v>
      </c>
      <c r="H167" s="79">
        <v>6</v>
      </c>
      <c r="I167" s="71">
        <v>16</v>
      </c>
      <c r="J167" s="71">
        <v>0</v>
      </c>
      <c r="K167" s="88">
        <v>0</v>
      </c>
      <c r="L167" s="85">
        <v>7</v>
      </c>
      <c r="M167" s="71">
        <v>0</v>
      </c>
      <c r="N167" s="71">
        <v>7</v>
      </c>
      <c r="O167" s="88">
        <v>15</v>
      </c>
      <c r="P167" s="85">
        <f>90-17</f>
        <v>73</v>
      </c>
      <c r="Q167" s="88">
        <f>111-17</f>
        <v>94</v>
      </c>
      <c r="R167" s="85">
        <f t="shared" si="8"/>
        <v>94</v>
      </c>
      <c r="S167" s="88">
        <f t="shared" si="9"/>
        <v>125</v>
      </c>
    </row>
    <row r="168" spans="2:19" ht="15" customHeight="1">
      <c r="B168" s="97" t="s">
        <v>13</v>
      </c>
      <c r="C168" s="20" t="s">
        <v>63</v>
      </c>
      <c r="D168" s="20"/>
      <c r="E168" s="21">
        <v>151</v>
      </c>
      <c r="F168" s="79">
        <v>6251</v>
      </c>
      <c r="G168" s="82">
        <v>13793</v>
      </c>
      <c r="H168" s="79">
        <v>2333</v>
      </c>
      <c r="I168" s="71">
        <v>5837</v>
      </c>
      <c r="J168" s="71">
        <v>154</v>
      </c>
      <c r="K168" s="88">
        <v>617</v>
      </c>
      <c r="L168" s="85">
        <v>457</v>
      </c>
      <c r="M168" s="71">
        <v>3</v>
      </c>
      <c r="N168" s="71">
        <v>1338</v>
      </c>
      <c r="O168" s="88">
        <v>1799</v>
      </c>
      <c r="P168" s="85">
        <f>11170-2672-210</f>
        <v>8288</v>
      </c>
      <c r="Q168" s="88">
        <f>16373-2673-210</f>
        <v>13490</v>
      </c>
      <c r="R168" s="85">
        <f t="shared" si="8"/>
        <v>12574</v>
      </c>
      <c r="S168" s="88">
        <f t="shared" si="9"/>
        <v>21743</v>
      </c>
    </row>
    <row r="169" spans="2:19" ht="15" customHeight="1">
      <c r="B169" s="97" t="s">
        <v>14</v>
      </c>
      <c r="C169" s="20"/>
      <c r="D169" s="20"/>
      <c r="E169" s="22">
        <v>152</v>
      </c>
      <c r="F169" s="79">
        <v>113</v>
      </c>
      <c r="G169" s="82">
        <v>195</v>
      </c>
      <c r="H169" s="79">
        <v>38</v>
      </c>
      <c r="I169" s="71">
        <v>79</v>
      </c>
      <c r="J169" s="71">
        <v>0</v>
      </c>
      <c r="K169" s="88">
        <v>3</v>
      </c>
      <c r="L169" s="85">
        <v>14</v>
      </c>
      <c r="M169" s="71">
        <v>1</v>
      </c>
      <c r="N169" s="71">
        <v>46</v>
      </c>
      <c r="O169" s="88">
        <v>61</v>
      </c>
      <c r="P169" s="85">
        <f>980-287-30</f>
        <v>663</v>
      </c>
      <c r="Q169" s="88">
        <f>1116-287-30</f>
        <v>799</v>
      </c>
      <c r="R169" s="85">
        <f t="shared" si="8"/>
        <v>762</v>
      </c>
      <c r="S169" s="88">
        <f t="shared" si="9"/>
        <v>942</v>
      </c>
    </row>
    <row r="170" spans="2:19" ht="15" customHeight="1">
      <c r="B170" s="97" t="s">
        <v>15</v>
      </c>
      <c r="C170" s="20"/>
      <c r="D170" s="20"/>
      <c r="E170" s="22">
        <v>153</v>
      </c>
      <c r="F170" s="79">
        <v>134</v>
      </c>
      <c r="G170" s="82">
        <v>241</v>
      </c>
      <c r="H170" s="79">
        <v>45</v>
      </c>
      <c r="I170" s="71">
        <v>93</v>
      </c>
      <c r="J170" s="71">
        <v>2</v>
      </c>
      <c r="K170" s="88">
        <v>13</v>
      </c>
      <c r="L170" s="85">
        <v>31</v>
      </c>
      <c r="M170" s="71">
        <v>1</v>
      </c>
      <c r="N170" s="71">
        <v>76</v>
      </c>
      <c r="O170" s="88">
        <v>109</v>
      </c>
      <c r="P170" s="85">
        <f>718-214-30</f>
        <v>474</v>
      </c>
      <c r="Q170" s="88">
        <f>891-214-30</f>
        <v>647</v>
      </c>
      <c r="R170" s="85">
        <f t="shared" si="8"/>
        <v>630</v>
      </c>
      <c r="S170" s="88">
        <f t="shared" si="9"/>
        <v>862</v>
      </c>
    </row>
    <row r="171" spans="2:19" ht="15" customHeight="1">
      <c r="B171" s="97" t="s">
        <v>16</v>
      </c>
      <c r="C171" s="20" t="s">
        <v>63</v>
      </c>
      <c r="D171" s="20"/>
      <c r="E171" s="22">
        <v>155</v>
      </c>
      <c r="F171" s="79">
        <v>904</v>
      </c>
      <c r="G171" s="82">
        <v>1672</v>
      </c>
      <c r="H171" s="79">
        <v>225</v>
      </c>
      <c r="I171" s="71">
        <v>531</v>
      </c>
      <c r="J171" s="71">
        <v>16</v>
      </c>
      <c r="K171" s="88">
        <v>67</v>
      </c>
      <c r="L171" s="85">
        <v>428</v>
      </c>
      <c r="M171" s="71">
        <v>2</v>
      </c>
      <c r="N171" s="71">
        <v>297</v>
      </c>
      <c r="O171" s="88">
        <v>727</v>
      </c>
      <c r="P171" s="85">
        <f>2953-928-101</f>
        <v>1924</v>
      </c>
      <c r="Q171" s="88">
        <f>3577-928-101</f>
        <v>2548</v>
      </c>
      <c r="R171" s="85">
        <f t="shared" si="8"/>
        <v>2892</v>
      </c>
      <c r="S171" s="88">
        <f t="shared" si="9"/>
        <v>3873</v>
      </c>
    </row>
    <row r="172" spans="2:19" ht="15" customHeight="1">
      <c r="B172" s="97" t="s">
        <v>17</v>
      </c>
      <c r="C172" s="20" t="s">
        <v>63</v>
      </c>
      <c r="D172" s="20"/>
      <c r="E172" s="22">
        <v>156</v>
      </c>
      <c r="F172" s="79">
        <v>1930</v>
      </c>
      <c r="G172" s="82">
        <v>4067</v>
      </c>
      <c r="H172" s="79">
        <v>866</v>
      </c>
      <c r="I172" s="71">
        <v>2162</v>
      </c>
      <c r="J172" s="71">
        <v>20</v>
      </c>
      <c r="K172" s="88">
        <v>81</v>
      </c>
      <c r="L172" s="85">
        <v>111</v>
      </c>
      <c r="M172" s="71">
        <v>3</v>
      </c>
      <c r="N172" s="71">
        <v>365</v>
      </c>
      <c r="O172" s="88">
        <v>479</v>
      </c>
      <c r="P172" s="85">
        <f>3491-677-54</f>
        <v>2760</v>
      </c>
      <c r="Q172" s="88">
        <f>4843-677-54</f>
        <v>4112</v>
      </c>
      <c r="R172" s="85">
        <f t="shared" si="8"/>
        <v>4125</v>
      </c>
      <c r="S172" s="88">
        <f t="shared" si="9"/>
        <v>6834</v>
      </c>
    </row>
    <row r="173" spans="2:19" ht="15" customHeight="1">
      <c r="B173" s="97" t="s">
        <v>18</v>
      </c>
      <c r="C173" s="20">
        <v>1</v>
      </c>
      <c r="D173" s="20" t="s">
        <v>75</v>
      </c>
      <c r="E173" s="21">
        <v>154</v>
      </c>
      <c r="F173" s="79">
        <v>81</v>
      </c>
      <c r="G173" s="82">
        <v>117</v>
      </c>
      <c r="H173" s="79">
        <v>16</v>
      </c>
      <c r="I173" s="71">
        <v>36</v>
      </c>
      <c r="J173" s="71">
        <v>0</v>
      </c>
      <c r="K173" s="88">
        <v>0</v>
      </c>
      <c r="L173" s="85">
        <v>15</v>
      </c>
      <c r="M173" s="71">
        <v>0</v>
      </c>
      <c r="N173" s="71">
        <v>38</v>
      </c>
      <c r="O173" s="88">
        <v>53</v>
      </c>
      <c r="P173" s="85">
        <f>220-69-7</f>
        <v>144</v>
      </c>
      <c r="Q173" s="88">
        <f>278-69-7</f>
        <v>202</v>
      </c>
      <c r="R173" s="85">
        <f t="shared" si="8"/>
        <v>213</v>
      </c>
      <c r="S173" s="88">
        <f t="shared" si="9"/>
        <v>291</v>
      </c>
    </row>
    <row r="174" spans="2:19" ht="15" customHeight="1">
      <c r="B174" s="97" t="s">
        <v>19</v>
      </c>
      <c r="C174" s="20"/>
      <c r="D174" s="20"/>
      <c r="E174" s="21">
        <v>157</v>
      </c>
      <c r="F174" s="79">
        <v>9</v>
      </c>
      <c r="G174" s="82">
        <v>12</v>
      </c>
      <c r="H174" s="79">
        <v>4</v>
      </c>
      <c r="I174" s="71">
        <v>8</v>
      </c>
      <c r="J174" s="71">
        <v>0</v>
      </c>
      <c r="K174" s="88">
        <v>0</v>
      </c>
      <c r="L174" s="85">
        <v>2</v>
      </c>
      <c r="M174" s="71">
        <v>0</v>
      </c>
      <c r="N174" s="71">
        <v>7</v>
      </c>
      <c r="O174" s="88">
        <v>10</v>
      </c>
      <c r="P174" s="85">
        <f>36-15</f>
        <v>21</v>
      </c>
      <c r="Q174" s="88">
        <f>42-15</f>
        <v>27</v>
      </c>
      <c r="R174" s="85">
        <f t="shared" si="8"/>
        <v>35</v>
      </c>
      <c r="S174" s="88">
        <f t="shared" si="9"/>
        <v>45</v>
      </c>
    </row>
    <row r="175" spans="2:19" ht="15" customHeight="1">
      <c r="B175" s="97" t="s">
        <v>20</v>
      </c>
      <c r="C175" s="20"/>
      <c r="D175" s="20"/>
      <c r="E175" s="22">
        <v>158</v>
      </c>
      <c r="F175" s="79">
        <v>72</v>
      </c>
      <c r="G175" s="82">
        <v>104</v>
      </c>
      <c r="H175" s="79">
        <v>16</v>
      </c>
      <c r="I175" s="71">
        <v>35</v>
      </c>
      <c r="J175" s="71">
        <v>0</v>
      </c>
      <c r="K175" s="88">
        <v>3</v>
      </c>
      <c r="L175" s="85">
        <v>11</v>
      </c>
      <c r="M175" s="71">
        <v>0</v>
      </c>
      <c r="N175" s="71">
        <v>51</v>
      </c>
      <c r="O175" s="88">
        <v>63</v>
      </c>
      <c r="P175" s="85">
        <f>346-116-24</f>
        <v>206</v>
      </c>
      <c r="Q175" s="88">
        <f>380-116-24</f>
        <v>240</v>
      </c>
      <c r="R175" s="85">
        <f t="shared" si="8"/>
        <v>285</v>
      </c>
      <c r="S175" s="88">
        <f t="shared" si="9"/>
        <v>341</v>
      </c>
    </row>
    <row r="176" spans="2:19" ht="15" customHeight="1">
      <c r="B176" s="97" t="s">
        <v>21</v>
      </c>
      <c r="C176" s="20"/>
      <c r="D176" s="20"/>
      <c r="E176" s="22">
        <v>159</v>
      </c>
      <c r="F176" s="79">
        <v>283</v>
      </c>
      <c r="G176" s="82">
        <v>437</v>
      </c>
      <c r="H176" s="79">
        <v>72</v>
      </c>
      <c r="I176" s="71">
        <v>165</v>
      </c>
      <c r="J176" s="71">
        <v>4</v>
      </c>
      <c r="K176" s="88">
        <v>18</v>
      </c>
      <c r="L176" s="85">
        <v>32</v>
      </c>
      <c r="M176" s="71">
        <v>1</v>
      </c>
      <c r="N176" s="71">
        <v>80</v>
      </c>
      <c r="O176" s="88">
        <v>113</v>
      </c>
      <c r="P176" s="85">
        <f>1001-312-57</f>
        <v>632</v>
      </c>
      <c r="Q176" s="88">
        <f>1137-312-57</f>
        <v>768</v>
      </c>
      <c r="R176" s="85">
        <f t="shared" si="8"/>
        <v>821</v>
      </c>
      <c r="S176" s="88">
        <f t="shared" si="9"/>
        <v>1064</v>
      </c>
    </row>
    <row r="177" spans="2:19" ht="15" customHeight="1">
      <c r="B177" s="97" t="s">
        <v>22</v>
      </c>
      <c r="C177" s="20">
        <v>1</v>
      </c>
      <c r="D177" s="20" t="s">
        <v>47</v>
      </c>
      <c r="E177" s="21">
        <v>160</v>
      </c>
      <c r="F177" s="79">
        <v>27</v>
      </c>
      <c r="G177" s="82">
        <v>54</v>
      </c>
      <c r="H177" s="79">
        <v>10</v>
      </c>
      <c r="I177" s="71">
        <v>20</v>
      </c>
      <c r="J177" s="71">
        <v>0</v>
      </c>
      <c r="K177" s="88">
        <v>0</v>
      </c>
      <c r="L177" s="85">
        <v>14</v>
      </c>
      <c r="M177" s="71">
        <v>0</v>
      </c>
      <c r="N177" s="71">
        <v>14</v>
      </c>
      <c r="O177" s="88">
        <v>29</v>
      </c>
      <c r="P177" s="85">
        <f>94-22</f>
        <v>72</v>
      </c>
      <c r="Q177" s="88">
        <f>137-22</f>
        <v>115</v>
      </c>
      <c r="R177" s="85">
        <f t="shared" si="8"/>
        <v>111</v>
      </c>
      <c r="S177" s="88">
        <f t="shared" si="9"/>
        <v>164</v>
      </c>
    </row>
    <row r="178" spans="2:19" ht="15" customHeight="1">
      <c r="B178" s="97" t="s">
        <v>23</v>
      </c>
      <c r="C178" s="20"/>
      <c r="D178" s="20"/>
      <c r="E178" s="22">
        <v>161</v>
      </c>
      <c r="F178" s="79">
        <v>8</v>
      </c>
      <c r="G178" s="82">
        <v>14</v>
      </c>
      <c r="H178" s="79">
        <v>5</v>
      </c>
      <c r="I178" s="71">
        <v>9</v>
      </c>
      <c r="J178" s="71">
        <v>0</v>
      </c>
      <c r="K178" s="88">
        <v>0</v>
      </c>
      <c r="L178" s="85">
        <v>1</v>
      </c>
      <c r="M178" s="71">
        <v>0</v>
      </c>
      <c r="N178" s="71">
        <v>12</v>
      </c>
      <c r="O178" s="88">
        <v>13</v>
      </c>
      <c r="P178" s="85">
        <f>444-169-21</f>
        <v>254</v>
      </c>
      <c r="Q178" s="88">
        <f>459-169-21</f>
        <v>269</v>
      </c>
      <c r="R178" s="85">
        <f aca="true" t="shared" si="10" ref="R178:R188">SUM(H178,J178,O178,P178)</f>
        <v>272</v>
      </c>
      <c r="S178" s="88">
        <f aca="true" t="shared" si="11" ref="S178:S188">SUM(I178,K178,O178,Q178)</f>
        <v>291</v>
      </c>
    </row>
    <row r="179" spans="2:19" ht="15" customHeight="1">
      <c r="B179" s="97" t="s">
        <v>24</v>
      </c>
      <c r="C179" s="20">
        <v>1</v>
      </c>
      <c r="D179" s="20" t="s">
        <v>52</v>
      </c>
      <c r="E179" s="22">
        <v>162</v>
      </c>
      <c r="F179" s="79">
        <v>230</v>
      </c>
      <c r="G179" s="82">
        <v>466</v>
      </c>
      <c r="H179" s="79">
        <v>69</v>
      </c>
      <c r="I179" s="71">
        <v>159</v>
      </c>
      <c r="J179" s="71">
        <v>2</v>
      </c>
      <c r="K179" s="88">
        <v>13</v>
      </c>
      <c r="L179" s="85">
        <v>22</v>
      </c>
      <c r="M179" s="71">
        <v>0</v>
      </c>
      <c r="N179" s="71">
        <v>83</v>
      </c>
      <c r="O179" s="88">
        <v>105</v>
      </c>
      <c r="P179" s="85">
        <f>727-204-40</f>
        <v>483</v>
      </c>
      <c r="Q179" s="88">
        <f>1000-204-40</f>
        <v>756</v>
      </c>
      <c r="R179" s="85">
        <f t="shared" si="10"/>
        <v>659</v>
      </c>
      <c r="S179" s="88">
        <f t="shared" si="11"/>
        <v>1033</v>
      </c>
    </row>
    <row r="180" spans="2:19" ht="15" customHeight="1">
      <c r="B180" s="97" t="s">
        <v>25</v>
      </c>
      <c r="C180" s="20"/>
      <c r="D180" s="20"/>
      <c r="E180" s="21">
        <v>163</v>
      </c>
      <c r="F180" s="79">
        <v>1327</v>
      </c>
      <c r="G180" s="82">
        <v>2834</v>
      </c>
      <c r="H180" s="79">
        <v>389</v>
      </c>
      <c r="I180" s="71">
        <v>927</v>
      </c>
      <c r="J180" s="71">
        <v>31</v>
      </c>
      <c r="K180" s="88">
        <v>114</v>
      </c>
      <c r="L180" s="85">
        <v>47</v>
      </c>
      <c r="M180" s="71">
        <v>1</v>
      </c>
      <c r="N180" s="71">
        <v>226</v>
      </c>
      <c r="O180" s="88">
        <v>275</v>
      </c>
      <c r="P180" s="85">
        <f>2763-619-66</f>
        <v>2078</v>
      </c>
      <c r="Q180" s="88">
        <f>4014-619-66</f>
        <v>3329</v>
      </c>
      <c r="R180" s="85">
        <f t="shared" si="10"/>
        <v>2773</v>
      </c>
      <c r="S180" s="88">
        <f t="shared" si="11"/>
        <v>4645</v>
      </c>
    </row>
    <row r="181" spans="2:19" ht="15" customHeight="1">
      <c r="B181" s="97" t="s">
        <v>26</v>
      </c>
      <c r="C181" s="20"/>
      <c r="D181" s="20"/>
      <c r="E181" s="22">
        <v>164</v>
      </c>
      <c r="F181" s="79">
        <v>365</v>
      </c>
      <c r="G181" s="82">
        <v>696</v>
      </c>
      <c r="H181" s="79">
        <v>179</v>
      </c>
      <c r="I181" s="71">
        <v>389</v>
      </c>
      <c r="J181" s="71">
        <v>2</v>
      </c>
      <c r="K181" s="88">
        <v>8</v>
      </c>
      <c r="L181" s="85">
        <v>57</v>
      </c>
      <c r="M181" s="71">
        <v>1</v>
      </c>
      <c r="N181" s="71">
        <v>104</v>
      </c>
      <c r="O181" s="88">
        <v>163</v>
      </c>
      <c r="P181" s="85">
        <f>1651-419-62</f>
        <v>1170</v>
      </c>
      <c r="Q181" s="88">
        <f>1999-419-62</f>
        <v>1518</v>
      </c>
      <c r="R181" s="85">
        <f t="shared" si="10"/>
        <v>1514</v>
      </c>
      <c r="S181" s="88">
        <f t="shared" si="11"/>
        <v>2078</v>
      </c>
    </row>
    <row r="182" spans="2:19" ht="15" customHeight="1">
      <c r="B182" s="97" t="s">
        <v>27</v>
      </c>
      <c r="C182" s="20"/>
      <c r="D182" s="20"/>
      <c r="E182" s="22">
        <v>165</v>
      </c>
      <c r="F182" s="79">
        <v>123</v>
      </c>
      <c r="G182" s="82">
        <v>266</v>
      </c>
      <c r="H182" s="79">
        <v>49</v>
      </c>
      <c r="I182" s="71">
        <v>115</v>
      </c>
      <c r="J182" s="71">
        <v>2</v>
      </c>
      <c r="K182" s="88">
        <v>9</v>
      </c>
      <c r="L182" s="85">
        <v>5</v>
      </c>
      <c r="M182" s="71">
        <v>0</v>
      </c>
      <c r="N182" s="71">
        <v>21</v>
      </c>
      <c r="O182" s="88">
        <v>26</v>
      </c>
      <c r="P182" s="85">
        <f>417-83</f>
        <v>334</v>
      </c>
      <c r="Q182" s="88">
        <f>584-83</f>
        <v>501</v>
      </c>
      <c r="R182" s="85">
        <f t="shared" si="10"/>
        <v>411</v>
      </c>
      <c r="S182" s="88">
        <f t="shared" si="11"/>
        <v>651</v>
      </c>
    </row>
    <row r="183" spans="2:19" ht="15" customHeight="1">
      <c r="B183" s="97" t="s">
        <v>28</v>
      </c>
      <c r="C183" s="20"/>
      <c r="D183" s="20"/>
      <c r="E183" s="21">
        <v>166</v>
      </c>
      <c r="F183" s="79">
        <v>79</v>
      </c>
      <c r="G183" s="82">
        <v>133</v>
      </c>
      <c r="H183" s="79">
        <v>34</v>
      </c>
      <c r="I183" s="71">
        <v>64</v>
      </c>
      <c r="J183" s="71">
        <v>0</v>
      </c>
      <c r="K183" s="88">
        <v>1</v>
      </c>
      <c r="L183" s="85">
        <v>17</v>
      </c>
      <c r="M183" s="71">
        <v>0</v>
      </c>
      <c r="N183" s="71">
        <v>70</v>
      </c>
      <c r="O183" s="88">
        <v>88</v>
      </c>
      <c r="P183" s="85">
        <f>493-150-14</f>
        <v>329</v>
      </c>
      <c r="Q183" s="88">
        <f>572-150-14</f>
        <v>408</v>
      </c>
      <c r="R183" s="85">
        <f t="shared" si="10"/>
        <v>451</v>
      </c>
      <c r="S183" s="88">
        <f t="shared" si="11"/>
        <v>561</v>
      </c>
    </row>
    <row r="184" spans="2:19" ht="15" customHeight="1">
      <c r="B184" s="97" t="s">
        <v>29</v>
      </c>
      <c r="C184" s="20"/>
      <c r="D184" s="20"/>
      <c r="E184" s="22">
        <v>167</v>
      </c>
      <c r="F184" s="79">
        <v>28</v>
      </c>
      <c r="G184" s="82">
        <v>51</v>
      </c>
      <c r="H184" s="79">
        <v>10</v>
      </c>
      <c r="I184" s="71">
        <v>25</v>
      </c>
      <c r="J184" s="71">
        <v>0</v>
      </c>
      <c r="K184" s="88">
        <v>0</v>
      </c>
      <c r="L184" s="85">
        <v>12</v>
      </c>
      <c r="M184" s="71">
        <v>0</v>
      </c>
      <c r="N184" s="71">
        <v>9</v>
      </c>
      <c r="O184" s="88">
        <v>21</v>
      </c>
      <c r="P184" s="85">
        <f>167-45</f>
        <v>122</v>
      </c>
      <c r="Q184" s="88">
        <f>188-45</f>
        <v>143</v>
      </c>
      <c r="R184" s="85">
        <f t="shared" si="10"/>
        <v>153</v>
      </c>
      <c r="S184" s="88">
        <f t="shared" si="11"/>
        <v>189</v>
      </c>
    </row>
    <row r="185" spans="2:19" ht="15" customHeight="1">
      <c r="B185" s="97" t="s">
        <v>30</v>
      </c>
      <c r="C185" s="20">
        <v>1</v>
      </c>
      <c r="D185" s="20" t="s">
        <v>52</v>
      </c>
      <c r="E185" s="22">
        <v>168</v>
      </c>
      <c r="F185" s="79">
        <v>25</v>
      </c>
      <c r="G185" s="82">
        <v>46</v>
      </c>
      <c r="H185" s="79">
        <v>5</v>
      </c>
      <c r="I185" s="71">
        <v>14</v>
      </c>
      <c r="J185" s="71">
        <v>0</v>
      </c>
      <c r="K185" s="88">
        <v>1</v>
      </c>
      <c r="L185" s="85">
        <v>6</v>
      </c>
      <c r="M185" s="71">
        <v>0</v>
      </c>
      <c r="N185" s="71">
        <v>18</v>
      </c>
      <c r="O185" s="88">
        <v>24</v>
      </c>
      <c r="P185" s="85">
        <f>139-47</f>
        <v>92</v>
      </c>
      <c r="Q185" s="88">
        <f>183-47</f>
        <v>136</v>
      </c>
      <c r="R185" s="85">
        <f t="shared" si="10"/>
        <v>121</v>
      </c>
      <c r="S185" s="88">
        <f t="shared" si="11"/>
        <v>175</v>
      </c>
    </row>
    <row r="186" spans="2:19" ht="15" customHeight="1">
      <c r="B186" s="97" t="s">
        <v>31</v>
      </c>
      <c r="C186" s="20">
        <v>1</v>
      </c>
      <c r="D186" s="20" t="s">
        <v>47</v>
      </c>
      <c r="E186" s="21">
        <v>169</v>
      </c>
      <c r="F186" s="79">
        <v>32</v>
      </c>
      <c r="G186" s="82">
        <v>64</v>
      </c>
      <c r="H186" s="79">
        <v>11</v>
      </c>
      <c r="I186" s="71">
        <v>24</v>
      </c>
      <c r="J186" s="71">
        <v>1</v>
      </c>
      <c r="K186" s="88">
        <v>6</v>
      </c>
      <c r="L186" s="85">
        <v>0</v>
      </c>
      <c r="M186" s="71">
        <v>0</v>
      </c>
      <c r="N186" s="71">
        <v>8</v>
      </c>
      <c r="O186" s="88">
        <v>8</v>
      </c>
      <c r="P186" s="85">
        <f>116-23-4</f>
        <v>89</v>
      </c>
      <c r="Q186" s="88">
        <f>169-23-4</f>
        <v>142</v>
      </c>
      <c r="R186" s="85">
        <f t="shared" si="10"/>
        <v>109</v>
      </c>
      <c r="S186" s="88">
        <f t="shared" si="11"/>
        <v>180</v>
      </c>
    </row>
    <row r="187" spans="2:19" ht="15" customHeight="1">
      <c r="B187" s="98" t="s">
        <v>32</v>
      </c>
      <c r="C187" s="22"/>
      <c r="D187" s="22"/>
      <c r="E187" s="22"/>
      <c r="F187" s="79">
        <v>2</v>
      </c>
      <c r="G187" s="82">
        <v>2</v>
      </c>
      <c r="H187" s="79">
        <v>0</v>
      </c>
      <c r="I187" s="71">
        <v>0</v>
      </c>
      <c r="J187" s="71">
        <v>0</v>
      </c>
      <c r="K187" s="88">
        <v>0</v>
      </c>
      <c r="L187" s="85">
        <v>0</v>
      </c>
      <c r="M187" s="71">
        <v>0</v>
      </c>
      <c r="N187" s="71">
        <v>1</v>
      </c>
      <c r="O187" s="88">
        <v>1</v>
      </c>
      <c r="P187" s="85">
        <f>359-9</f>
        <v>350</v>
      </c>
      <c r="Q187" s="88">
        <f>360-9</f>
        <v>351</v>
      </c>
      <c r="R187" s="85">
        <f t="shared" si="10"/>
        <v>351</v>
      </c>
      <c r="S187" s="88">
        <f t="shared" si="11"/>
        <v>352</v>
      </c>
    </row>
    <row r="188" spans="2:19" ht="15" customHeight="1" thickBot="1">
      <c r="B188" s="99" t="s">
        <v>33</v>
      </c>
      <c r="C188" s="36"/>
      <c r="D188" s="36"/>
      <c r="E188" s="36"/>
      <c r="F188" s="100">
        <v>85576</v>
      </c>
      <c r="G188" s="101">
        <v>177376</v>
      </c>
      <c r="H188" s="100">
        <v>33334</v>
      </c>
      <c r="I188" s="102">
        <v>83281</v>
      </c>
      <c r="J188" s="102">
        <v>1502</v>
      </c>
      <c r="K188" s="103">
        <v>6245</v>
      </c>
      <c r="L188" s="104">
        <v>7317</v>
      </c>
      <c r="M188" s="102">
        <v>139</v>
      </c>
      <c r="N188" s="102">
        <v>18571</v>
      </c>
      <c r="O188" s="103">
        <v>26028</v>
      </c>
      <c r="P188" s="104">
        <f>182241-43517-4683</f>
        <v>134041</v>
      </c>
      <c r="Q188" s="103">
        <f>245882-43522-4684</f>
        <v>197676</v>
      </c>
      <c r="R188" s="104">
        <f t="shared" si="10"/>
        <v>194905</v>
      </c>
      <c r="S188" s="103">
        <f t="shared" si="11"/>
        <v>313230</v>
      </c>
    </row>
    <row r="189" ht="15" customHeight="1">
      <c r="B189" s="1" t="s">
        <v>236</v>
      </c>
    </row>
  </sheetData>
  <mergeCells count="9">
    <mergeCell ref="B16:E16"/>
    <mergeCell ref="B12:E12"/>
    <mergeCell ref="B13:E13"/>
    <mergeCell ref="B14:E14"/>
    <mergeCell ref="B15:E15"/>
    <mergeCell ref="B6:E7"/>
    <mergeCell ref="B9:E9"/>
    <mergeCell ref="B10:E10"/>
    <mergeCell ref="B11:E1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Y190"/>
  <sheetViews>
    <sheetView zoomScale="75" zoomScaleNormal="75" workbookViewId="0" topLeftCell="A1">
      <selection activeCell="B7" sqref="B7:E8"/>
    </sheetView>
  </sheetViews>
  <sheetFormatPr defaultColWidth="9.00390625" defaultRowHeight="15" customHeight="1"/>
  <cols>
    <col min="1" max="16384" width="12.75390625" style="0" customWidth="1"/>
  </cols>
  <sheetData>
    <row r="1" ht="15" customHeight="1">
      <c r="I1" s="1" t="s">
        <v>34</v>
      </c>
    </row>
    <row r="2" spans="9:19" ht="15" customHeight="1">
      <c r="I2" s="1" t="s">
        <v>35</v>
      </c>
      <c r="R2" s="1"/>
      <c r="S2" s="1"/>
    </row>
    <row r="3" spans="9:19" ht="15" customHeight="1">
      <c r="I3" s="1" t="s">
        <v>191</v>
      </c>
      <c r="R3" s="1"/>
      <c r="S3" s="1"/>
    </row>
    <row r="4" spans="18:19" ht="15" customHeight="1">
      <c r="R4" s="1"/>
      <c r="S4" s="1"/>
    </row>
    <row r="5" ht="15" customHeight="1" thickBot="1"/>
    <row r="6" spans="2:25" ht="45.75" customHeight="1" thickBot="1">
      <c r="B6" s="208" t="s">
        <v>99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1"/>
      <c r="P6" s="1"/>
      <c r="Q6" s="1"/>
      <c r="T6" s="1"/>
      <c r="U6" s="1"/>
      <c r="V6" s="1"/>
      <c r="W6" s="1"/>
      <c r="X6" s="1"/>
      <c r="Y6" s="1"/>
    </row>
    <row r="7" spans="2:25" ht="15" customHeight="1">
      <c r="B7" s="193" t="s">
        <v>199</v>
      </c>
      <c r="C7" s="194"/>
      <c r="D7" s="194"/>
      <c r="E7" s="195"/>
      <c r="F7" s="9" t="s">
        <v>180</v>
      </c>
      <c r="G7" s="10"/>
      <c r="H7" s="9" t="s">
        <v>186</v>
      </c>
      <c r="I7" s="10"/>
      <c r="J7" s="10"/>
      <c r="K7" s="10"/>
      <c r="L7" s="10"/>
      <c r="M7" s="10"/>
      <c r="N7" s="9" t="s">
        <v>181</v>
      </c>
      <c r="O7" s="10"/>
      <c r="P7" s="10"/>
      <c r="Q7" s="10"/>
      <c r="R7" s="9" t="s">
        <v>184</v>
      </c>
      <c r="S7" s="62"/>
      <c r="T7" s="9" t="s">
        <v>190</v>
      </c>
      <c r="U7" s="10"/>
      <c r="V7" s="10"/>
      <c r="W7" s="10"/>
      <c r="X7" s="10"/>
      <c r="Y7" s="11"/>
    </row>
    <row r="8" spans="2:25" ht="15" customHeight="1">
      <c r="B8" s="196"/>
      <c r="C8" s="197"/>
      <c r="D8" s="197"/>
      <c r="E8" s="198"/>
      <c r="F8" s="110"/>
      <c r="G8" s="105"/>
      <c r="H8" s="68" t="s">
        <v>178</v>
      </c>
      <c r="I8" s="69"/>
      <c r="J8" s="69" t="s">
        <v>179</v>
      </c>
      <c r="K8" s="69"/>
      <c r="L8" s="69" t="s">
        <v>177</v>
      </c>
      <c r="M8" s="70"/>
      <c r="N8" s="110"/>
      <c r="O8" s="105"/>
      <c r="P8" s="105"/>
      <c r="Q8" s="105"/>
      <c r="R8" s="116" t="s">
        <v>183</v>
      </c>
      <c r="S8" s="111"/>
      <c r="T8" s="68" t="s">
        <v>187</v>
      </c>
      <c r="U8" s="69"/>
      <c r="V8" s="69" t="s">
        <v>188</v>
      </c>
      <c r="W8" s="69"/>
      <c r="X8" s="69" t="s">
        <v>189</v>
      </c>
      <c r="Y8" s="70"/>
    </row>
    <row r="9" spans="2:25" ht="15" customHeight="1" thickBot="1">
      <c r="B9" s="5"/>
      <c r="C9" s="6"/>
      <c r="D9" s="6"/>
      <c r="E9" s="7"/>
      <c r="F9" s="58" t="s">
        <v>172</v>
      </c>
      <c r="G9" s="113" t="s">
        <v>173</v>
      </c>
      <c r="H9" s="118" t="s">
        <v>172</v>
      </c>
      <c r="I9" s="53" t="s">
        <v>173</v>
      </c>
      <c r="J9" s="53" t="s">
        <v>172</v>
      </c>
      <c r="K9" s="53" t="s">
        <v>173</v>
      </c>
      <c r="L9" s="53" t="s">
        <v>172</v>
      </c>
      <c r="M9" s="117" t="s">
        <v>173</v>
      </c>
      <c r="N9" s="58" t="s">
        <v>174</v>
      </c>
      <c r="O9" s="60" t="s">
        <v>175</v>
      </c>
      <c r="P9" s="60" t="s">
        <v>176</v>
      </c>
      <c r="Q9" s="113" t="s">
        <v>177</v>
      </c>
      <c r="R9" s="58" t="s">
        <v>172</v>
      </c>
      <c r="S9" s="113" t="s">
        <v>173</v>
      </c>
      <c r="T9" s="58" t="s">
        <v>172</v>
      </c>
      <c r="U9" s="60" t="s">
        <v>173</v>
      </c>
      <c r="V9" s="60" t="s">
        <v>172</v>
      </c>
      <c r="W9" s="60" t="s">
        <v>173</v>
      </c>
      <c r="X9" s="60" t="s">
        <v>172</v>
      </c>
      <c r="Y9" s="59" t="s">
        <v>173</v>
      </c>
    </row>
    <row r="10" spans="2:25" ht="15" customHeight="1">
      <c r="B10" s="205" t="s">
        <v>42</v>
      </c>
      <c r="C10" s="206"/>
      <c r="D10" s="206"/>
      <c r="E10" s="207"/>
      <c r="F10" s="89">
        <v>2177</v>
      </c>
      <c r="G10" s="114">
        <v>4156</v>
      </c>
      <c r="H10" s="115">
        <v>664</v>
      </c>
      <c r="I10" s="109">
        <v>1430</v>
      </c>
      <c r="J10" s="109">
        <v>33</v>
      </c>
      <c r="K10" s="109">
        <v>165</v>
      </c>
      <c r="L10" s="109">
        <v>697</v>
      </c>
      <c r="M10" s="114">
        <v>1595</v>
      </c>
      <c r="N10" s="115">
        <v>319</v>
      </c>
      <c r="O10" s="109">
        <v>7</v>
      </c>
      <c r="P10" s="109">
        <v>953</v>
      </c>
      <c r="Q10" s="114">
        <v>1304</v>
      </c>
      <c r="R10" s="115">
        <v>9158</v>
      </c>
      <c r="S10" s="114">
        <v>13705</v>
      </c>
      <c r="T10" s="115">
        <v>97</v>
      </c>
      <c r="U10" s="109">
        <v>100</v>
      </c>
      <c r="V10" s="109">
        <v>522</v>
      </c>
      <c r="W10" s="109">
        <v>522</v>
      </c>
      <c r="X10" s="109">
        <v>575</v>
      </c>
      <c r="Y10" s="92">
        <v>578</v>
      </c>
    </row>
    <row r="11" spans="2:25" ht="15" customHeight="1">
      <c r="B11" s="199" t="s">
        <v>200</v>
      </c>
      <c r="C11" s="200"/>
      <c r="D11" s="200"/>
      <c r="E11" s="201"/>
      <c r="F11" s="77">
        <v>78980</v>
      </c>
      <c r="G11" s="80">
        <v>158526</v>
      </c>
      <c r="H11" s="77">
        <v>26213</v>
      </c>
      <c r="I11" s="75">
        <v>62555</v>
      </c>
      <c r="J11" s="75">
        <v>1143</v>
      </c>
      <c r="K11" s="75">
        <v>4622</v>
      </c>
      <c r="L11" s="75">
        <v>27356</v>
      </c>
      <c r="M11" s="80">
        <v>67177</v>
      </c>
      <c r="N11" s="77">
        <v>6691</v>
      </c>
      <c r="O11" s="75">
        <v>132</v>
      </c>
      <c r="P11" s="75">
        <v>16706</v>
      </c>
      <c r="Q11" s="80">
        <v>23506</v>
      </c>
      <c r="R11" s="77">
        <v>190782</v>
      </c>
      <c r="S11" s="80">
        <v>307706</v>
      </c>
      <c r="T11" s="77">
        <v>3938</v>
      </c>
      <c r="U11" s="75">
        <v>4033</v>
      </c>
      <c r="V11" s="75">
        <v>17546</v>
      </c>
      <c r="W11" s="75">
        <v>17563</v>
      </c>
      <c r="X11" s="75">
        <v>19471</v>
      </c>
      <c r="Y11" s="86">
        <v>19558</v>
      </c>
    </row>
    <row r="12" spans="2:25" ht="15" customHeight="1">
      <c r="B12" s="199" t="s">
        <v>201</v>
      </c>
      <c r="C12" s="200"/>
      <c r="D12" s="200"/>
      <c r="E12" s="201"/>
      <c r="F12" s="77">
        <v>59225</v>
      </c>
      <c r="G12" s="80">
        <v>121715</v>
      </c>
      <c r="H12" s="77">
        <v>20014</v>
      </c>
      <c r="I12" s="75">
        <v>48927</v>
      </c>
      <c r="J12" s="75">
        <v>819</v>
      </c>
      <c r="K12" s="75">
        <v>3407</v>
      </c>
      <c r="L12" s="75">
        <v>20833</v>
      </c>
      <c r="M12" s="80">
        <v>52334</v>
      </c>
      <c r="N12" s="77">
        <v>4743</v>
      </c>
      <c r="O12" s="75">
        <v>59</v>
      </c>
      <c r="P12" s="75">
        <v>10863</v>
      </c>
      <c r="Q12" s="80">
        <v>15679</v>
      </c>
      <c r="R12" s="77">
        <v>124005</v>
      </c>
      <c r="S12" s="80">
        <v>209631</v>
      </c>
      <c r="T12" s="77">
        <v>2937</v>
      </c>
      <c r="U12" s="75">
        <v>3000</v>
      </c>
      <c r="V12" s="75">
        <v>13462</v>
      </c>
      <c r="W12" s="75">
        <v>13474</v>
      </c>
      <c r="X12" s="75">
        <v>14910</v>
      </c>
      <c r="Y12" s="86">
        <v>14966</v>
      </c>
    </row>
    <row r="13" spans="2:25" ht="15" customHeight="1">
      <c r="B13" s="199" t="s">
        <v>202</v>
      </c>
      <c r="C13" s="200"/>
      <c r="D13" s="200"/>
      <c r="E13" s="201"/>
      <c r="F13" s="77">
        <v>19755</v>
      </c>
      <c r="G13" s="80">
        <v>36811</v>
      </c>
      <c r="H13" s="77">
        <v>6199</v>
      </c>
      <c r="I13" s="75">
        <v>13628</v>
      </c>
      <c r="J13" s="75">
        <v>324</v>
      </c>
      <c r="K13" s="75">
        <v>1215</v>
      </c>
      <c r="L13" s="75">
        <v>6523</v>
      </c>
      <c r="M13" s="80">
        <v>14843</v>
      </c>
      <c r="N13" s="77">
        <v>1948</v>
      </c>
      <c r="O13" s="75">
        <v>73</v>
      </c>
      <c r="P13" s="75">
        <v>5843</v>
      </c>
      <c r="Q13" s="80">
        <v>7827</v>
      </c>
      <c r="R13" s="77">
        <v>66777</v>
      </c>
      <c r="S13" s="80">
        <v>98075</v>
      </c>
      <c r="T13" s="77">
        <v>1001</v>
      </c>
      <c r="U13" s="75">
        <v>1033</v>
      </c>
      <c r="V13" s="75">
        <v>4084</v>
      </c>
      <c r="W13" s="75">
        <v>4089</v>
      </c>
      <c r="X13" s="75">
        <v>4561</v>
      </c>
      <c r="Y13" s="86">
        <v>4592</v>
      </c>
    </row>
    <row r="14" spans="2:25" ht="15" customHeight="1">
      <c r="B14" s="199" t="s">
        <v>43</v>
      </c>
      <c r="C14" s="200"/>
      <c r="D14" s="200"/>
      <c r="E14" s="201"/>
      <c r="F14" s="77">
        <v>1241</v>
      </c>
      <c r="G14" s="80">
        <v>2496</v>
      </c>
      <c r="H14" s="77">
        <v>399</v>
      </c>
      <c r="I14" s="75">
        <v>870</v>
      </c>
      <c r="J14" s="75">
        <v>22</v>
      </c>
      <c r="K14" s="75">
        <v>106</v>
      </c>
      <c r="L14" s="75">
        <v>421</v>
      </c>
      <c r="M14" s="80">
        <v>976</v>
      </c>
      <c r="N14" s="77">
        <v>143</v>
      </c>
      <c r="O14" s="75">
        <v>5</v>
      </c>
      <c r="P14" s="75">
        <v>426</v>
      </c>
      <c r="Q14" s="80">
        <v>588</v>
      </c>
      <c r="R14" s="77">
        <v>4782</v>
      </c>
      <c r="S14" s="80">
        <v>7403</v>
      </c>
      <c r="T14" s="77">
        <v>45</v>
      </c>
      <c r="U14" s="75">
        <v>46</v>
      </c>
      <c r="V14" s="75">
        <v>274</v>
      </c>
      <c r="W14" s="75">
        <v>274</v>
      </c>
      <c r="X14" s="75">
        <v>297</v>
      </c>
      <c r="Y14" s="86">
        <v>298</v>
      </c>
    </row>
    <row r="15" spans="2:25" ht="15" customHeight="1">
      <c r="B15" s="199" t="s">
        <v>44</v>
      </c>
      <c r="C15" s="200"/>
      <c r="D15" s="200"/>
      <c r="E15" s="201"/>
      <c r="F15" s="77">
        <v>726</v>
      </c>
      <c r="G15" s="80">
        <v>1330</v>
      </c>
      <c r="H15" s="77">
        <v>216</v>
      </c>
      <c r="I15" s="75">
        <v>454</v>
      </c>
      <c r="J15" s="75">
        <v>11</v>
      </c>
      <c r="K15" s="75">
        <v>54</v>
      </c>
      <c r="L15" s="75">
        <v>227</v>
      </c>
      <c r="M15" s="80">
        <v>508</v>
      </c>
      <c r="N15" s="77">
        <v>115</v>
      </c>
      <c r="O15" s="75">
        <v>2</v>
      </c>
      <c r="P15" s="75">
        <v>326</v>
      </c>
      <c r="Q15" s="80">
        <v>451</v>
      </c>
      <c r="R15" s="77">
        <v>3312</v>
      </c>
      <c r="S15" s="80">
        <v>4899</v>
      </c>
      <c r="T15" s="77">
        <v>38</v>
      </c>
      <c r="U15" s="75">
        <v>40</v>
      </c>
      <c r="V15" s="75">
        <v>200</v>
      </c>
      <c r="W15" s="75">
        <v>200</v>
      </c>
      <c r="X15" s="75">
        <v>224</v>
      </c>
      <c r="Y15" s="86">
        <v>226</v>
      </c>
    </row>
    <row r="16" spans="2:25" ht="15" customHeight="1">
      <c r="B16" s="199" t="s">
        <v>45</v>
      </c>
      <c r="C16" s="200"/>
      <c r="D16" s="200"/>
      <c r="E16" s="201"/>
      <c r="F16" s="77">
        <v>210</v>
      </c>
      <c r="G16" s="80">
        <v>330</v>
      </c>
      <c r="H16" s="77">
        <v>49</v>
      </c>
      <c r="I16" s="75">
        <v>106</v>
      </c>
      <c r="J16" s="75">
        <v>0</v>
      </c>
      <c r="K16" s="75">
        <v>5</v>
      </c>
      <c r="L16" s="75">
        <v>49</v>
      </c>
      <c r="M16" s="80">
        <v>111</v>
      </c>
      <c r="N16" s="77">
        <v>61</v>
      </c>
      <c r="O16" s="75">
        <v>0</v>
      </c>
      <c r="P16" s="75">
        <v>201</v>
      </c>
      <c r="Q16" s="80">
        <v>265</v>
      </c>
      <c r="R16" s="77">
        <v>1064</v>
      </c>
      <c r="S16" s="80">
        <v>1403</v>
      </c>
      <c r="T16" s="77">
        <v>14</v>
      </c>
      <c r="U16" s="75">
        <v>14</v>
      </c>
      <c r="V16" s="75">
        <v>48</v>
      </c>
      <c r="W16" s="75">
        <v>48</v>
      </c>
      <c r="X16" s="75">
        <v>54</v>
      </c>
      <c r="Y16" s="86">
        <v>54</v>
      </c>
    </row>
    <row r="17" spans="2:25" ht="15" customHeight="1" thickBot="1">
      <c r="B17" s="202" t="s">
        <v>46</v>
      </c>
      <c r="C17" s="203"/>
      <c r="D17" s="203"/>
      <c r="E17" s="204"/>
      <c r="F17" s="77">
        <v>81157</v>
      </c>
      <c r="G17" s="80">
        <v>162682</v>
      </c>
      <c r="H17" s="77">
        <v>26877</v>
      </c>
      <c r="I17" s="75">
        <v>63985</v>
      </c>
      <c r="J17" s="75">
        <v>1176</v>
      </c>
      <c r="K17" s="75">
        <v>4787</v>
      </c>
      <c r="L17" s="75">
        <v>28053</v>
      </c>
      <c r="M17" s="80">
        <v>68772</v>
      </c>
      <c r="N17" s="77">
        <v>7010</v>
      </c>
      <c r="O17" s="75">
        <v>139</v>
      </c>
      <c r="P17" s="75">
        <v>17659</v>
      </c>
      <c r="Q17" s="80">
        <v>24810</v>
      </c>
      <c r="R17" s="77">
        <v>199940</v>
      </c>
      <c r="S17" s="80">
        <v>321411</v>
      </c>
      <c r="T17" s="77">
        <v>4035</v>
      </c>
      <c r="U17" s="75">
        <v>4133</v>
      </c>
      <c r="V17" s="75">
        <v>18068</v>
      </c>
      <c r="W17" s="75">
        <v>18085</v>
      </c>
      <c r="X17" s="75">
        <v>20046</v>
      </c>
      <c r="Y17" s="86">
        <v>20136</v>
      </c>
    </row>
    <row r="18" spans="2:25" ht="15" customHeight="1" thickBot="1">
      <c r="B18" s="13" t="s">
        <v>203</v>
      </c>
      <c r="C18" s="13" t="s">
        <v>196</v>
      </c>
      <c r="D18" s="13" t="s">
        <v>197</v>
      </c>
      <c r="E18" s="73" t="s">
        <v>198</v>
      </c>
      <c r="F18" s="78"/>
      <c r="G18" s="81"/>
      <c r="H18" s="78"/>
      <c r="I18" s="76"/>
      <c r="J18" s="76"/>
      <c r="K18" s="76"/>
      <c r="L18" s="76"/>
      <c r="M18" s="81"/>
      <c r="N18" s="78"/>
      <c r="O18" s="76"/>
      <c r="P18" s="76"/>
      <c r="Q18" s="81"/>
      <c r="R18" s="78"/>
      <c r="S18" s="81"/>
      <c r="T18" s="78"/>
      <c r="U18" s="76"/>
      <c r="V18" s="76"/>
      <c r="W18" s="76"/>
      <c r="X18" s="76"/>
      <c r="Y18" s="87"/>
    </row>
    <row r="19" spans="2:25" ht="15" customHeight="1">
      <c r="B19" s="94" t="s">
        <v>48</v>
      </c>
      <c r="C19" s="95">
        <v>1</v>
      </c>
      <c r="D19" s="95" t="s">
        <v>47</v>
      </c>
      <c r="E19" s="106">
        <v>1</v>
      </c>
      <c r="F19" s="79">
        <v>11</v>
      </c>
      <c r="G19" s="82">
        <v>23</v>
      </c>
      <c r="H19" s="79">
        <v>4</v>
      </c>
      <c r="I19" s="71">
        <v>9</v>
      </c>
      <c r="J19" s="71">
        <v>0</v>
      </c>
      <c r="K19" s="71">
        <v>0</v>
      </c>
      <c r="L19" s="71">
        <f aca="true" t="shared" si="0" ref="L19:M50">SUM(H19,J19)</f>
        <v>4</v>
      </c>
      <c r="M19" s="82">
        <f t="shared" si="0"/>
        <v>9</v>
      </c>
      <c r="N19" s="79">
        <v>2</v>
      </c>
      <c r="O19" s="71">
        <v>0</v>
      </c>
      <c r="P19" s="71">
        <v>5</v>
      </c>
      <c r="Q19" s="82">
        <v>8</v>
      </c>
      <c r="R19" s="79">
        <f>4+8+54-11-1</f>
        <v>54</v>
      </c>
      <c r="S19" s="82">
        <f>9+8+68-11-1</f>
        <v>73</v>
      </c>
      <c r="T19" s="79">
        <v>1</v>
      </c>
      <c r="U19" s="71">
        <v>1</v>
      </c>
      <c r="V19" s="71">
        <v>1</v>
      </c>
      <c r="W19" s="71">
        <v>1</v>
      </c>
      <c r="X19" s="71">
        <v>2</v>
      </c>
      <c r="Y19" s="88">
        <v>2</v>
      </c>
    </row>
    <row r="20" spans="2:25" ht="15" customHeight="1">
      <c r="B20" s="97" t="s">
        <v>49</v>
      </c>
      <c r="C20" s="20"/>
      <c r="D20" s="20"/>
      <c r="E20" s="33">
        <v>2</v>
      </c>
      <c r="F20" s="79">
        <v>594</v>
      </c>
      <c r="G20" s="82">
        <v>1227</v>
      </c>
      <c r="H20" s="79">
        <v>213</v>
      </c>
      <c r="I20" s="71">
        <v>527</v>
      </c>
      <c r="J20" s="71">
        <v>8</v>
      </c>
      <c r="K20" s="71">
        <v>32</v>
      </c>
      <c r="L20" s="71">
        <f t="shared" si="0"/>
        <v>221</v>
      </c>
      <c r="M20" s="82">
        <f t="shared" si="0"/>
        <v>559</v>
      </c>
      <c r="N20" s="79">
        <v>20</v>
      </c>
      <c r="O20" s="71">
        <v>0</v>
      </c>
      <c r="P20" s="71">
        <v>75</v>
      </c>
      <c r="Q20" s="82">
        <v>95</v>
      </c>
      <c r="R20" s="79">
        <f>221+95+1232-229-21</f>
        <v>1298</v>
      </c>
      <c r="S20" s="82">
        <f>559+95+1780-229-21</f>
        <v>2184</v>
      </c>
      <c r="T20" s="79">
        <v>24</v>
      </c>
      <c r="U20" s="71">
        <v>24</v>
      </c>
      <c r="V20" s="71">
        <v>98</v>
      </c>
      <c r="W20" s="71">
        <v>98</v>
      </c>
      <c r="X20" s="71">
        <v>112</v>
      </c>
      <c r="Y20" s="88">
        <v>112</v>
      </c>
    </row>
    <row r="21" spans="2:25" ht="15" customHeight="1">
      <c r="B21" s="97" t="s">
        <v>50</v>
      </c>
      <c r="C21" s="20">
        <v>1</v>
      </c>
      <c r="D21" s="20" t="s">
        <v>47</v>
      </c>
      <c r="E21" s="33">
        <v>3</v>
      </c>
      <c r="F21" s="79">
        <v>28</v>
      </c>
      <c r="G21" s="82">
        <v>62</v>
      </c>
      <c r="H21" s="79">
        <v>14</v>
      </c>
      <c r="I21" s="71">
        <v>29</v>
      </c>
      <c r="J21" s="71">
        <v>0</v>
      </c>
      <c r="K21" s="71">
        <v>3</v>
      </c>
      <c r="L21" s="71">
        <f t="shared" si="0"/>
        <v>14</v>
      </c>
      <c r="M21" s="82">
        <f t="shared" si="0"/>
        <v>32</v>
      </c>
      <c r="N21" s="79">
        <v>10</v>
      </c>
      <c r="O21" s="71">
        <v>0</v>
      </c>
      <c r="P21" s="71">
        <v>9</v>
      </c>
      <c r="Q21" s="82">
        <v>20</v>
      </c>
      <c r="R21" s="79">
        <f>14+20+134-24-4</f>
        <v>140</v>
      </c>
      <c r="S21" s="82">
        <f>32+20+206-24-4</f>
        <v>230</v>
      </c>
      <c r="T21" s="79">
        <v>2</v>
      </c>
      <c r="U21" s="71">
        <v>2</v>
      </c>
      <c r="V21" s="71">
        <v>6</v>
      </c>
      <c r="W21" s="71">
        <v>6</v>
      </c>
      <c r="X21" s="71">
        <v>6</v>
      </c>
      <c r="Y21" s="88">
        <v>6</v>
      </c>
    </row>
    <row r="22" spans="2:25" ht="15" customHeight="1">
      <c r="B22" s="97" t="s">
        <v>51</v>
      </c>
      <c r="C22" s="20"/>
      <c r="D22" s="20"/>
      <c r="E22" s="107">
        <v>4</v>
      </c>
      <c r="F22" s="79">
        <v>26</v>
      </c>
      <c r="G22" s="82">
        <v>39</v>
      </c>
      <c r="H22" s="79">
        <v>4</v>
      </c>
      <c r="I22" s="71">
        <v>8</v>
      </c>
      <c r="J22" s="71">
        <v>0</v>
      </c>
      <c r="K22" s="71">
        <v>0</v>
      </c>
      <c r="L22" s="71">
        <f t="shared" si="0"/>
        <v>4</v>
      </c>
      <c r="M22" s="82">
        <f t="shared" si="0"/>
        <v>8</v>
      </c>
      <c r="N22" s="79">
        <v>7</v>
      </c>
      <c r="O22" s="71">
        <v>0</v>
      </c>
      <c r="P22" s="71">
        <v>16</v>
      </c>
      <c r="Q22" s="82">
        <v>23</v>
      </c>
      <c r="R22" s="79">
        <f>4+23+235-62-14</f>
        <v>186</v>
      </c>
      <c r="S22" s="82">
        <f>8+23+257-62-14</f>
        <v>212</v>
      </c>
      <c r="T22" s="79">
        <v>1</v>
      </c>
      <c r="U22" s="71">
        <v>1</v>
      </c>
      <c r="V22" s="71">
        <v>8</v>
      </c>
      <c r="W22" s="71">
        <v>8</v>
      </c>
      <c r="X22" s="71">
        <v>8</v>
      </c>
      <c r="Y22" s="88">
        <v>8</v>
      </c>
    </row>
    <row r="23" spans="2:25" ht="15" customHeight="1">
      <c r="B23" s="97" t="s">
        <v>53</v>
      </c>
      <c r="C23" s="20">
        <v>1</v>
      </c>
      <c r="D23" s="20" t="s">
        <v>52</v>
      </c>
      <c r="E23" s="33">
        <v>5</v>
      </c>
      <c r="F23" s="79">
        <v>7</v>
      </c>
      <c r="G23" s="82">
        <v>11</v>
      </c>
      <c r="H23" s="79">
        <v>4</v>
      </c>
      <c r="I23" s="71">
        <v>6</v>
      </c>
      <c r="J23" s="71">
        <v>0</v>
      </c>
      <c r="K23" s="71">
        <v>0</v>
      </c>
      <c r="L23" s="71">
        <f t="shared" si="0"/>
        <v>4</v>
      </c>
      <c r="M23" s="82">
        <f t="shared" si="0"/>
        <v>6</v>
      </c>
      <c r="N23" s="79">
        <v>0</v>
      </c>
      <c r="O23" s="71">
        <v>0</v>
      </c>
      <c r="P23" s="71">
        <v>2</v>
      </c>
      <c r="Q23" s="82">
        <v>3</v>
      </c>
      <c r="R23" s="79">
        <f>4+3+40-7-2</f>
        <v>38</v>
      </c>
      <c r="S23" s="82">
        <f>6+3+54-7-2</f>
        <v>54</v>
      </c>
      <c r="T23" s="79">
        <v>3</v>
      </c>
      <c r="U23" s="71">
        <v>3</v>
      </c>
      <c r="V23" s="71">
        <v>7</v>
      </c>
      <c r="W23" s="71">
        <v>7</v>
      </c>
      <c r="X23" s="71">
        <v>7</v>
      </c>
      <c r="Y23" s="88">
        <v>7</v>
      </c>
    </row>
    <row r="24" spans="2:25" ht="15" customHeight="1">
      <c r="B24" s="97" t="s">
        <v>54</v>
      </c>
      <c r="C24" s="20">
        <v>1</v>
      </c>
      <c r="D24" s="20" t="s">
        <v>52</v>
      </c>
      <c r="E24" s="33">
        <v>6</v>
      </c>
      <c r="F24" s="79">
        <v>31</v>
      </c>
      <c r="G24" s="82">
        <v>55</v>
      </c>
      <c r="H24" s="79">
        <v>12</v>
      </c>
      <c r="I24" s="71">
        <v>23</v>
      </c>
      <c r="J24" s="71">
        <v>0</v>
      </c>
      <c r="K24" s="71">
        <v>0</v>
      </c>
      <c r="L24" s="71">
        <f t="shared" si="0"/>
        <v>12</v>
      </c>
      <c r="M24" s="82">
        <f t="shared" si="0"/>
        <v>23</v>
      </c>
      <c r="N24" s="79">
        <v>2</v>
      </c>
      <c r="O24" s="71">
        <v>0</v>
      </c>
      <c r="P24" s="71">
        <v>10</v>
      </c>
      <c r="Q24" s="82">
        <v>13</v>
      </c>
      <c r="R24" s="79">
        <f>12+13+133-25-6</f>
        <v>127</v>
      </c>
      <c r="S24" s="82">
        <f>23+13+184-25-6</f>
        <v>189</v>
      </c>
      <c r="T24" s="79">
        <v>1</v>
      </c>
      <c r="U24" s="71">
        <v>1</v>
      </c>
      <c r="V24" s="71">
        <v>6</v>
      </c>
      <c r="W24" s="71">
        <v>6</v>
      </c>
      <c r="X24" s="71">
        <v>8</v>
      </c>
      <c r="Y24" s="88">
        <v>8</v>
      </c>
    </row>
    <row r="25" spans="2:25" ht="15" customHeight="1">
      <c r="B25" s="97" t="s">
        <v>55</v>
      </c>
      <c r="C25" s="20"/>
      <c r="D25" s="20"/>
      <c r="E25" s="107">
        <v>7</v>
      </c>
      <c r="F25" s="79">
        <v>65</v>
      </c>
      <c r="G25" s="82">
        <v>100</v>
      </c>
      <c r="H25" s="79">
        <v>21</v>
      </c>
      <c r="I25" s="71">
        <v>39</v>
      </c>
      <c r="J25" s="71">
        <v>1</v>
      </c>
      <c r="K25" s="71">
        <v>4</v>
      </c>
      <c r="L25" s="71">
        <f t="shared" si="0"/>
        <v>22</v>
      </c>
      <c r="M25" s="82">
        <f t="shared" si="0"/>
        <v>43</v>
      </c>
      <c r="N25" s="79">
        <v>30</v>
      </c>
      <c r="O25" s="71">
        <v>0</v>
      </c>
      <c r="P25" s="71">
        <v>36</v>
      </c>
      <c r="Q25" s="82">
        <v>67</v>
      </c>
      <c r="R25" s="79">
        <f>22+67+342-97-13</f>
        <v>321</v>
      </c>
      <c r="S25" s="82">
        <f>43+67+452-97-13</f>
        <v>452</v>
      </c>
      <c r="T25" s="79">
        <v>9</v>
      </c>
      <c r="U25" s="71">
        <v>9</v>
      </c>
      <c r="V25" s="71">
        <v>33</v>
      </c>
      <c r="W25" s="71">
        <v>33</v>
      </c>
      <c r="X25" s="71">
        <v>35</v>
      </c>
      <c r="Y25" s="88">
        <v>35</v>
      </c>
    </row>
    <row r="26" spans="2:25" ht="15" customHeight="1">
      <c r="B26" s="97" t="s">
        <v>56</v>
      </c>
      <c r="C26" s="20">
        <v>1</v>
      </c>
      <c r="D26" s="20" t="s">
        <v>52</v>
      </c>
      <c r="E26" s="33">
        <v>8</v>
      </c>
      <c r="F26" s="79">
        <v>11</v>
      </c>
      <c r="G26" s="82">
        <v>26</v>
      </c>
      <c r="H26" s="79">
        <v>4</v>
      </c>
      <c r="I26" s="71">
        <v>13</v>
      </c>
      <c r="J26" s="71">
        <v>0</v>
      </c>
      <c r="K26" s="71">
        <v>0</v>
      </c>
      <c r="L26" s="71">
        <f t="shared" si="0"/>
        <v>4</v>
      </c>
      <c r="M26" s="82">
        <f t="shared" si="0"/>
        <v>13</v>
      </c>
      <c r="N26" s="79">
        <v>1</v>
      </c>
      <c r="O26" s="71">
        <v>0</v>
      </c>
      <c r="P26" s="71">
        <v>6</v>
      </c>
      <c r="Q26" s="82">
        <v>7</v>
      </c>
      <c r="R26" s="79">
        <f>4+7+44-7</f>
        <v>48</v>
      </c>
      <c r="S26" s="82">
        <f>13+7+66-7</f>
        <v>79</v>
      </c>
      <c r="T26" s="79">
        <v>1</v>
      </c>
      <c r="U26" s="71">
        <v>3</v>
      </c>
      <c r="V26" s="71">
        <v>3</v>
      </c>
      <c r="W26" s="71">
        <v>3</v>
      </c>
      <c r="X26" s="71">
        <v>4</v>
      </c>
      <c r="Y26" s="88">
        <v>6</v>
      </c>
    </row>
    <row r="27" spans="2:25" ht="15" customHeight="1">
      <c r="B27" s="97" t="s">
        <v>57</v>
      </c>
      <c r="C27" s="20"/>
      <c r="D27" s="20"/>
      <c r="E27" s="33">
        <v>9</v>
      </c>
      <c r="F27" s="79">
        <v>89</v>
      </c>
      <c r="G27" s="82">
        <v>134</v>
      </c>
      <c r="H27" s="79">
        <v>26</v>
      </c>
      <c r="I27" s="71">
        <v>45</v>
      </c>
      <c r="J27" s="71">
        <v>1</v>
      </c>
      <c r="K27" s="71">
        <v>5</v>
      </c>
      <c r="L27" s="71">
        <f t="shared" si="0"/>
        <v>27</v>
      </c>
      <c r="M27" s="82">
        <f t="shared" si="0"/>
        <v>50</v>
      </c>
      <c r="N27" s="79">
        <v>17</v>
      </c>
      <c r="O27" s="71">
        <v>0</v>
      </c>
      <c r="P27" s="71">
        <v>22</v>
      </c>
      <c r="Q27" s="82">
        <v>39</v>
      </c>
      <c r="R27" s="79">
        <f>27+39+479-117-17</f>
        <v>411</v>
      </c>
      <c r="S27" s="82">
        <f>50+39+615-117-17</f>
        <v>570</v>
      </c>
      <c r="T27" s="79">
        <v>11</v>
      </c>
      <c r="U27" s="71">
        <v>11</v>
      </c>
      <c r="V27" s="71">
        <v>29</v>
      </c>
      <c r="W27" s="71">
        <v>29</v>
      </c>
      <c r="X27" s="71">
        <v>35</v>
      </c>
      <c r="Y27" s="88">
        <v>35</v>
      </c>
    </row>
    <row r="28" spans="2:25" ht="15" customHeight="1">
      <c r="B28" s="97" t="s">
        <v>58</v>
      </c>
      <c r="C28" s="20">
        <v>1</v>
      </c>
      <c r="D28" s="20" t="s">
        <v>52</v>
      </c>
      <c r="E28" s="107">
        <v>10</v>
      </c>
      <c r="F28" s="79">
        <v>11</v>
      </c>
      <c r="G28" s="82">
        <v>15</v>
      </c>
      <c r="H28" s="79">
        <v>4</v>
      </c>
      <c r="I28" s="71">
        <v>8</v>
      </c>
      <c r="J28" s="71">
        <v>0</v>
      </c>
      <c r="K28" s="71">
        <v>1</v>
      </c>
      <c r="L28" s="71">
        <f t="shared" si="0"/>
        <v>4</v>
      </c>
      <c r="M28" s="82">
        <f t="shared" si="0"/>
        <v>9</v>
      </c>
      <c r="N28" s="79">
        <v>1</v>
      </c>
      <c r="O28" s="71">
        <v>0</v>
      </c>
      <c r="P28" s="71">
        <v>5</v>
      </c>
      <c r="Q28" s="82">
        <v>6</v>
      </c>
      <c r="R28" s="79">
        <f>4+6+81-17-3</f>
        <v>71</v>
      </c>
      <c r="S28" s="82">
        <f>9+6+103-17-3</f>
        <v>98</v>
      </c>
      <c r="T28" s="79">
        <v>1</v>
      </c>
      <c r="U28" s="71">
        <v>1</v>
      </c>
      <c r="V28" s="71">
        <v>2</v>
      </c>
      <c r="W28" s="71">
        <v>2</v>
      </c>
      <c r="X28" s="71">
        <v>2</v>
      </c>
      <c r="Y28" s="88">
        <v>2</v>
      </c>
    </row>
    <row r="29" spans="2:25" ht="15" customHeight="1">
      <c r="B29" s="97" t="s">
        <v>59</v>
      </c>
      <c r="C29" s="20"/>
      <c r="D29" s="20"/>
      <c r="E29" s="33">
        <v>11</v>
      </c>
      <c r="F29" s="79">
        <v>336</v>
      </c>
      <c r="G29" s="82">
        <v>571</v>
      </c>
      <c r="H29" s="79">
        <v>161</v>
      </c>
      <c r="I29" s="71">
        <v>312</v>
      </c>
      <c r="J29" s="71">
        <v>0</v>
      </c>
      <c r="K29" s="71">
        <v>2</v>
      </c>
      <c r="L29" s="71">
        <f t="shared" si="0"/>
        <v>161</v>
      </c>
      <c r="M29" s="82">
        <f t="shared" si="0"/>
        <v>314</v>
      </c>
      <c r="N29" s="79">
        <v>56</v>
      </c>
      <c r="O29" s="71">
        <v>5</v>
      </c>
      <c r="P29" s="71">
        <v>83</v>
      </c>
      <c r="Q29" s="82">
        <v>144</v>
      </c>
      <c r="R29" s="79">
        <f>161+144+1583-394-38</f>
        <v>1456</v>
      </c>
      <c r="S29" s="82">
        <f>314+144+1900-394-38</f>
        <v>1926</v>
      </c>
      <c r="T29" s="79">
        <v>20</v>
      </c>
      <c r="U29" s="71">
        <v>20</v>
      </c>
      <c r="V29" s="71">
        <v>88</v>
      </c>
      <c r="W29" s="71">
        <v>88</v>
      </c>
      <c r="X29" s="71">
        <v>102</v>
      </c>
      <c r="Y29" s="88">
        <v>102</v>
      </c>
    </row>
    <row r="30" spans="2:25" ht="15" customHeight="1">
      <c r="B30" s="97" t="s">
        <v>60</v>
      </c>
      <c r="C30" s="20">
        <v>1</v>
      </c>
      <c r="D30" s="20" t="s">
        <v>47</v>
      </c>
      <c r="E30" s="33">
        <v>12</v>
      </c>
      <c r="F30" s="79">
        <v>11</v>
      </c>
      <c r="G30" s="82">
        <v>25</v>
      </c>
      <c r="H30" s="79">
        <v>7</v>
      </c>
      <c r="I30" s="71">
        <v>16</v>
      </c>
      <c r="J30" s="71">
        <v>0</v>
      </c>
      <c r="K30" s="71">
        <v>0</v>
      </c>
      <c r="L30" s="71">
        <f t="shared" si="0"/>
        <v>7</v>
      </c>
      <c r="M30" s="82">
        <f t="shared" si="0"/>
        <v>16</v>
      </c>
      <c r="N30" s="79">
        <v>0</v>
      </c>
      <c r="O30" s="71">
        <v>0</v>
      </c>
      <c r="P30" s="71">
        <v>11</v>
      </c>
      <c r="Q30" s="82">
        <v>11</v>
      </c>
      <c r="R30" s="79">
        <f>7+11+71-9-2</f>
        <v>78</v>
      </c>
      <c r="S30" s="82">
        <f>16+11+98-9-2</f>
        <v>114</v>
      </c>
      <c r="T30" s="79">
        <v>1</v>
      </c>
      <c r="U30" s="71">
        <v>1</v>
      </c>
      <c r="V30" s="71">
        <v>4</v>
      </c>
      <c r="W30" s="71">
        <v>4</v>
      </c>
      <c r="X30" s="71">
        <v>5</v>
      </c>
      <c r="Y30" s="88">
        <v>5</v>
      </c>
    </row>
    <row r="31" spans="2:25" ht="15" customHeight="1">
      <c r="B31" s="97" t="s">
        <v>61</v>
      </c>
      <c r="C31" s="20">
        <v>1</v>
      </c>
      <c r="D31" s="20" t="s">
        <v>47</v>
      </c>
      <c r="E31" s="107">
        <v>13</v>
      </c>
      <c r="F31" s="79">
        <v>17</v>
      </c>
      <c r="G31" s="82">
        <v>32</v>
      </c>
      <c r="H31" s="79">
        <v>6</v>
      </c>
      <c r="I31" s="71">
        <v>10</v>
      </c>
      <c r="J31" s="71">
        <v>0</v>
      </c>
      <c r="K31" s="71">
        <v>0</v>
      </c>
      <c r="L31" s="71">
        <f t="shared" si="0"/>
        <v>6</v>
      </c>
      <c r="M31" s="82">
        <f t="shared" si="0"/>
        <v>10</v>
      </c>
      <c r="N31" s="79">
        <v>18</v>
      </c>
      <c r="O31" s="71">
        <v>0</v>
      </c>
      <c r="P31" s="71">
        <v>14</v>
      </c>
      <c r="Q31" s="82">
        <v>33</v>
      </c>
      <c r="R31" s="79">
        <f>6+33+94-39</f>
        <v>94</v>
      </c>
      <c r="S31" s="82">
        <f>10+33+121-39</f>
        <v>125</v>
      </c>
      <c r="T31" s="79">
        <v>1</v>
      </c>
      <c r="U31" s="71">
        <v>1</v>
      </c>
      <c r="V31" s="71">
        <v>20</v>
      </c>
      <c r="W31" s="71">
        <v>20</v>
      </c>
      <c r="X31" s="71">
        <v>22</v>
      </c>
      <c r="Y31" s="88">
        <v>22</v>
      </c>
    </row>
    <row r="32" spans="2:25" ht="15" customHeight="1">
      <c r="B32" s="97" t="s">
        <v>62</v>
      </c>
      <c r="C32" s="20"/>
      <c r="D32" s="20"/>
      <c r="E32" s="33">
        <v>14</v>
      </c>
      <c r="F32" s="79">
        <v>302</v>
      </c>
      <c r="G32" s="82">
        <v>461</v>
      </c>
      <c r="H32" s="79">
        <v>75</v>
      </c>
      <c r="I32" s="71">
        <v>141</v>
      </c>
      <c r="J32" s="71">
        <v>3</v>
      </c>
      <c r="K32" s="71">
        <v>12</v>
      </c>
      <c r="L32" s="71">
        <f t="shared" si="0"/>
        <v>78</v>
      </c>
      <c r="M32" s="82">
        <f t="shared" si="0"/>
        <v>153</v>
      </c>
      <c r="N32" s="79">
        <v>18</v>
      </c>
      <c r="O32" s="71">
        <v>0</v>
      </c>
      <c r="P32" s="71">
        <v>143</v>
      </c>
      <c r="Q32" s="82">
        <v>162</v>
      </c>
      <c r="R32" s="79">
        <f>78+162+983-237-24</f>
        <v>962</v>
      </c>
      <c r="S32" s="82">
        <f>153+162+1277-237-24</f>
        <v>1331</v>
      </c>
      <c r="T32" s="79">
        <v>19</v>
      </c>
      <c r="U32" s="71">
        <v>20</v>
      </c>
      <c r="V32" s="71">
        <v>78</v>
      </c>
      <c r="W32" s="71">
        <v>78</v>
      </c>
      <c r="X32" s="71">
        <v>88</v>
      </c>
      <c r="Y32" s="88">
        <v>88</v>
      </c>
    </row>
    <row r="33" spans="2:25" ht="15" customHeight="1">
      <c r="B33" s="97" t="s">
        <v>64</v>
      </c>
      <c r="C33" s="20" t="s">
        <v>63</v>
      </c>
      <c r="D33" s="20"/>
      <c r="E33" s="33">
        <v>15</v>
      </c>
      <c r="F33" s="79">
        <v>8292</v>
      </c>
      <c r="G33" s="82">
        <v>18615</v>
      </c>
      <c r="H33" s="79">
        <v>2906</v>
      </c>
      <c r="I33" s="71">
        <v>7054</v>
      </c>
      <c r="J33" s="71">
        <v>180</v>
      </c>
      <c r="K33" s="71">
        <v>779</v>
      </c>
      <c r="L33" s="71">
        <f t="shared" si="0"/>
        <v>3086</v>
      </c>
      <c r="M33" s="82">
        <f t="shared" si="0"/>
        <v>7833</v>
      </c>
      <c r="N33" s="79">
        <v>603</v>
      </c>
      <c r="O33" s="71">
        <v>6</v>
      </c>
      <c r="P33" s="71">
        <v>1333</v>
      </c>
      <c r="Q33" s="82">
        <v>1944</v>
      </c>
      <c r="R33" s="79">
        <f>3086+1944+17081-2798-226</f>
        <v>19087</v>
      </c>
      <c r="S33" s="82">
        <f>7833+1944+26727-2798-226</f>
        <v>33480</v>
      </c>
      <c r="T33" s="79">
        <v>411</v>
      </c>
      <c r="U33" s="71">
        <v>428</v>
      </c>
      <c r="V33" s="71">
        <v>1642</v>
      </c>
      <c r="W33" s="71">
        <v>1647</v>
      </c>
      <c r="X33" s="71">
        <v>1869</v>
      </c>
      <c r="Y33" s="88">
        <v>1890</v>
      </c>
    </row>
    <row r="34" spans="2:25" ht="15" customHeight="1">
      <c r="B34" s="97" t="s">
        <v>65</v>
      </c>
      <c r="C34" s="20">
        <v>1</v>
      </c>
      <c r="D34" s="20" t="s">
        <v>52</v>
      </c>
      <c r="E34" s="107">
        <v>16</v>
      </c>
      <c r="F34" s="79">
        <v>2</v>
      </c>
      <c r="G34" s="82">
        <v>2</v>
      </c>
      <c r="H34" s="79">
        <v>0</v>
      </c>
      <c r="I34" s="71">
        <v>0</v>
      </c>
      <c r="J34" s="71">
        <v>0</v>
      </c>
      <c r="K34" s="71">
        <v>0</v>
      </c>
      <c r="L34" s="71">
        <f t="shared" si="0"/>
        <v>0</v>
      </c>
      <c r="M34" s="82">
        <f t="shared" si="0"/>
        <v>0</v>
      </c>
      <c r="N34" s="79">
        <v>0</v>
      </c>
      <c r="O34" s="71">
        <v>0</v>
      </c>
      <c r="P34" s="71">
        <v>0</v>
      </c>
      <c r="Q34" s="82">
        <v>0</v>
      </c>
      <c r="R34" s="79">
        <v>12</v>
      </c>
      <c r="S34" s="82">
        <v>22</v>
      </c>
      <c r="T34" s="79">
        <v>0</v>
      </c>
      <c r="U34" s="71">
        <v>0</v>
      </c>
      <c r="V34" s="71">
        <v>5</v>
      </c>
      <c r="W34" s="71">
        <v>5</v>
      </c>
      <c r="X34" s="71">
        <v>5</v>
      </c>
      <c r="Y34" s="88">
        <v>5</v>
      </c>
    </row>
    <row r="35" spans="2:25" ht="15" customHeight="1">
      <c r="B35" s="97" t="s">
        <v>66</v>
      </c>
      <c r="C35" s="20" t="s">
        <v>63</v>
      </c>
      <c r="D35" s="20"/>
      <c r="E35" s="33">
        <v>17</v>
      </c>
      <c r="F35" s="79">
        <v>1347</v>
      </c>
      <c r="G35" s="82">
        <v>2650</v>
      </c>
      <c r="H35" s="79">
        <v>398</v>
      </c>
      <c r="I35" s="71">
        <v>950</v>
      </c>
      <c r="J35" s="71">
        <v>31</v>
      </c>
      <c r="K35" s="71">
        <v>115</v>
      </c>
      <c r="L35" s="71">
        <f t="shared" si="0"/>
        <v>429</v>
      </c>
      <c r="M35" s="82">
        <f t="shared" si="0"/>
        <v>1065</v>
      </c>
      <c r="N35" s="79">
        <v>56</v>
      </c>
      <c r="O35" s="71">
        <v>3</v>
      </c>
      <c r="P35" s="71">
        <v>263</v>
      </c>
      <c r="Q35" s="82">
        <v>323</v>
      </c>
      <c r="R35" s="79">
        <f>429+323+3701-917-120</f>
        <v>3416</v>
      </c>
      <c r="S35" s="82">
        <f>1065+323+5203-917-120</f>
        <v>5554</v>
      </c>
      <c r="T35" s="79">
        <v>56</v>
      </c>
      <c r="U35" s="71">
        <v>56</v>
      </c>
      <c r="V35" s="71">
        <v>288</v>
      </c>
      <c r="W35" s="71">
        <v>288</v>
      </c>
      <c r="X35" s="71">
        <v>312</v>
      </c>
      <c r="Y35" s="88">
        <v>312</v>
      </c>
    </row>
    <row r="36" spans="2:25" ht="15" customHeight="1">
      <c r="B36" s="97" t="s">
        <v>67</v>
      </c>
      <c r="C36" s="20"/>
      <c r="D36" s="20"/>
      <c r="E36" s="33">
        <v>18</v>
      </c>
      <c r="F36" s="79">
        <v>42</v>
      </c>
      <c r="G36" s="82">
        <v>58</v>
      </c>
      <c r="H36" s="79">
        <v>11</v>
      </c>
      <c r="I36" s="71">
        <v>18</v>
      </c>
      <c r="J36" s="71">
        <v>0</v>
      </c>
      <c r="K36" s="71">
        <v>1</v>
      </c>
      <c r="L36" s="71">
        <f t="shared" si="0"/>
        <v>11</v>
      </c>
      <c r="M36" s="82">
        <f t="shared" si="0"/>
        <v>19</v>
      </c>
      <c r="N36" s="79">
        <v>6</v>
      </c>
      <c r="O36" s="71">
        <v>0</v>
      </c>
      <c r="P36" s="71">
        <v>9</v>
      </c>
      <c r="Q36" s="82">
        <v>15</v>
      </c>
      <c r="R36" s="79">
        <f>11+15+272-59-12</f>
        <v>227</v>
      </c>
      <c r="S36" s="82">
        <f>19+15+340-59-12</f>
        <v>303</v>
      </c>
      <c r="T36" s="79">
        <v>3</v>
      </c>
      <c r="U36" s="71">
        <v>3</v>
      </c>
      <c r="V36" s="71">
        <v>14</v>
      </c>
      <c r="W36" s="71">
        <v>14</v>
      </c>
      <c r="X36" s="71">
        <v>16</v>
      </c>
      <c r="Y36" s="88">
        <v>16</v>
      </c>
    </row>
    <row r="37" spans="2:25" ht="15" customHeight="1">
      <c r="B37" s="97" t="s">
        <v>68</v>
      </c>
      <c r="C37" s="20">
        <v>1</v>
      </c>
      <c r="D37" s="20" t="s">
        <v>47</v>
      </c>
      <c r="E37" s="107">
        <v>19</v>
      </c>
      <c r="F37" s="79">
        <v>53</v>
      </c>
      <c r="G37" s="82">
        <v>114</v>
      </c>
      <c r="H37" s="79">
        <v>16</v>
      </c>
      <c r="I37" s="71">
        <v>39</v>
      </c>
      <c r="J37" s="71">
        <v>0</v>
      </c>
      <c r="K37" s="71">
        <v>3</v>
      </c>
      <c r="L37" s="71">
        <f t="shared" si="0"/>
        <v>16</v>
      </c>
      <c r="M37" s="82">
        <f t="shared" si="0"/>
        <v>42</v>
      </c>
      <c r="N37" s="79">
        <v>10</v>
      </c>
      <c r="O37" s="71">
        <v>1</v>
      </c>
      <c r="P37" s="71">
        <v>29</v>
      </c>
      <c r="Q37" s="82">
        <v>42</v>
      </c>
      <c r="R37" s="79">
        <f>16+42+338-103-11</f>
        <v>282</v>
      </c>
      <c r="S37" s="82">
        <f>42+42+438-103-11</f>
        <v>408</v>
      </c>
      <c r="T37" s="79">
        <v>2</v>
      </c>
      <c r="U37" s="71">
        <v>3</v>
      </c>
      <c r="V37" s="71">
        <v>9</v>
      </c>
      <c r="W37" s="71">
        <v>9</v>
      </c>
      <c r="X37" s="71">
        <v>11</v>
      </c>
      <c r="Y37" s="88">
        <v>11</v>
      </c>
    </row>
    <row r="38" spans="2:25" ht="15" customHeight="1">
      <c r="B38" s="97" t="s">
        <v>69</v>
      </c>
      <c r="C38" s="20"/>
      <c r="D38" s="20"/>
      <c r="E38" s="33">
        <v>20</v>
      </c>
      <c r="F38" s="79">
        <v>17</v>
      </c>
      <c r="G38" s="82">
        <v>33</v>
      </c>
      <c r="H38" s="79">
        <v>5</v>
      </c>
      <c r="I38" s="71">
        <v>9</v>
      </c>
      <c r="J38" s="71">
        <v>0</v>
      </c>
      <c r="K38" s="71">
        <v>0</v>
      </c>
      <c r="L38" s="71">
        <f t="shared" si="0"/>
        <v>5</v>
      </c>
      <c r="M38" s="82">
        <f t="shared" si="0"/>
        <v>9</v>
      </c>
      <c r="N38" s="79">
        <v>2</v>
      </c>
      <c r="O38" s="71">
        <v>1</v>
      </c>
      <c r="P38" s="71">
        <v>13</v>
      </c>
      <c r="Q38" s="82">
        <v>17</v>
      </c>
      <c r="R38" s="79">
        <f>5+17+93-21-1</f>
        <v>93</v>
      </c>
      <c r="S38" s="82">
        <f>9+17+123-21-1</f>
        <v>127</v>
      </c>
      <c r="T38" s="79">
        <v>1</v>
      </c>
      <c r="U38" s="71">
        <v>1</v>
      </c>
      <c r="V38" s="71">
        <v>5</v>
      </c>
      <c r="W38" s="71">
        <v>5</v>
      </c>
      <c r="X38" s="71">
        <v>6</v>
      </c>
      <c r="Y38" s="88">
        <v>6</v>
      </c>
    </row>
    <row r="39" spans="2:25" ht="15" customHeight="1">
      <c r="B39" s="97" t="s">
        <v>70</v>
      </c>
      <c r="C39" s="20">
        <v>1</v>
      </c>
      <c r="D39" s="20" t="s">
        <v>52</v>
      </c>
      <c r="E39" s="33">
        <v>21</v>
      </c>
      <c r="F39" s="79">
        <v>7</v>
      </c>
      <c r="G39" s="82">
        <v>15</v>
      </c>
      <c r="H39" s="79">
        <v>2</v>
      </c>
      <c r="I39" s="71">
        <v>6</v>
      </c>
      <c r="J39" s="71">
        <v>0</v>
      </c>
      <c r="K39" s="71">
        <v>1</v>
      </c>
      <c r="L39" s="71">
        <f t="shared" si="0"/>
        <v>2</v>
      </c>
      <c r="M39" s="82">
        <f t="shared" si="0"/>
        <v>7</v>
      </c>
      <c r="N39" s="79">
        <v>0</v>
      </c>
      <c r="O39" s="71">
        <v>0</v>
      </c>
      <c r="P39" s="71">
        <v>4</v>
      </c>
      <c r="Q39" s="82">
        <v>4</v>
      </c>
      <c r="R39" s="79">
        <v>50</v>
      </c>
      <c r="S39" s="82">
        <v>88</v>
      </c>
      <c r="T39" s="79">
        <v>0</v>
      </c>
      <c r="U39" s="71">
        <v>0</v>
      </c>
      <c r="V39" s="71">
        <v>2</v>
      </c>
      <c r="W39" s="71">
        <v>2</v>
      </c>
      <c r="X39" s="71">
        <v>2</v>
      </c>
      <c r="Y39" s="88">
        <v>2</v>
      </c>
    </row>
    <row r="40" spans="2:25" ht="15" customHeight="1">
      <c r="B40" s="97" t="s">
        <v>71</v>
      </c>
      <c r="C40" s="20">
        <v>1</v>
      </c>
      <c r="D40" s="20" t="s">
        <v>47</v>
      </c>
      <c r="E40" s="107">
        <v>22</v>
      </c>
      <c r="F40" s="79">
        <v>40</v>
      </c>
      <c r="G40" s="82">
        <v>69</v>
      </c>
      <c r="H40" s="79">
        <v>11</v>
      </c>
      <c r="I40" s="71">
        <v>26</v>
      </c>
      <c r="J40" s="71">
        <v>0</v>
      </c>
      <c r="K40" s="71">
        <v>2</v>
      </c>
      <c r="L40" s="71">
        <f t="shared" si="0"/>
        <v>11</v>
      </c>
      <c r="M40" s="82">
        <f t="shared" si="0"/>
        <v>28</v>
      </c>
      <c r="N40" s="79">
        <v>1</v>
      </c>
      <c r="O40" s="71">
        <v>0</v>
      </c>
      <c r="P40" s="71">
        <v>11</v>
      </c>
      <c r="Q40" s="82">
        <v>12</v>
      </c>
      <c r="R40" s="79">
        <f>11+12+164-28-6</f>
        <v>153</v>
      </c>
      <c r="S40" s="82">
        <f>28+12+245-28-6</f>
        <v>251</v>
      </c>
      <c r="T40" s="79">
        <v>3</v>
      </c>
      <c r="U40" s="71">
        <v>3</v>
      </c>
      <c r="V40" s="71">
        <v>5</v>
      </c>
      <c r="W40" s="71">
        <v>5</v>
      </c>
      <c r="X40" s="71">
        <v>7</v>
      </c>
      <c r="Y40" s="88">
        <v>7</v>
      </c>
    </row>
    <row r="41" spans="2:25" ht="15" customHeight="1">
      <c r="B41" s="97" t="s">
        <v>72</v>
      </c>
      <c r="C41" s="20"/>
      <c r="D41" s="20"/>
      <c r="E41" s="33">
        <v>23</v>
      </c>
      <c r="F41" s="79">
        <v>24</v>
      </c>
      <c r="G41" s="82">
        <v>40</v>
      </c>
      <c r="H41" s="79">
        <v>5</v>
      </c>
      <c r="I41" s="71">
        <v>10</v>
      </c>
      <c r="J41" s="71">
        <v>0</v>
      </c>
      <c r="K41" s="71">
        <v>0</v>
      </c>
      <c r="L41" s="71">
        <f t="shared" si="0"/>
        <v>5</v>
      </c>
      <c r="M41" s="82">
        <f t="shared" si="0"/>
        <v>10</v>
      </c>
      <c r="N41" s="79">
        <v>0</v>
      </c>
      <c r="O41" s="71">
        <v>3</v>
      </c>
      <c r="P41" s="71">
        <v>9</v>
      </c>
      <c r="Q41" s="82">
        <v>13</v>
      </c>
      <c r="R41" s="79">
        <f>5+13+239-56-6</f>
        <v>195</v>
      </c>
      <c r="S41" s="82">
        <f>10+13+293-56-6</f>
        <v>254</v>
      </c>
      <c r="T41" s="79">
        <v>2</v>
      </c>
      <c r="U41" s="71">
        <v>2</v>
      </c>
      <c r="V41" s="71">
        <v>4</v>
      </c>
      <c r="W41" s="71">
        <v>4</v>
      </c>
      <c r="X41" s="71">
        <v>6</v>
      </c>
      <c r="Y41" s="88">
        <v>6</v>
      </c>
    </row>
    <row r="42" spans="2:25" ht="15" customHeight="1">
      <c r="B42" s="97" t="s">
        <v>73</v>
      </c>
      <c r="C42" s="20">
        <v>1</v>
      </c>
      <c r="D42" s="20" t="s">
        <v>47</v>
      </c>
      <c r="E42" s="33">
        <v>24</v>
      </c>
      <c r="F42" s="79">
        <v>9</v>
      </c>
      <c r="G42" s="82">
        <v>18</v>
      </c>
      <c r="H42" s="79">
        <v>6</v>
      </c>
      <c r="I42" s="71">
        <v>10</v>
      </c>
      <c r="J42" s="71">
        <v>0</v>
      </c>
      <c r="K42" s="71">
        <v>0</v>
      </c>
      <c r="L42" s="71">
        <f t="shared" si="0"/>
        <v>6</v>
      </c>
      <c r="M42" s="82">
        <f t="shared" si="0"/>
        <v>10</v>
      </c>
      <c r="N42" s="79">
        <v>0</v>
      </c>
      <c r="O42" s="71">
        <v>0</v>
      </c>
      <c r="P42" s="71">
        <v>0</v>
      </c>
      <c r="Q42" s="82">
        <v>0</v>
      </c>
      <c r="R42" s="79">
        <f>6+37-5</f>
        <v>38</v>
      </c>
      <c r="S42" s="82">
        <f>10+47-5</f>
        <v>52</v>
      </c>
      <c r="T42" s="79">
        <v>0</v>
      </c>
      <c r="U42" s="71">
        <v>0</v>
      </c>
      <c r="V42" s="71">
        <v>1</v>
      </c>
      <c r="W42" s="71">
        <v>1</v>
      </c>
      <c r="X42" s="71">
        <v>1</v>
      </c>
      <c r="Y42" s="88">
        <v>1</v>
      </c>
    </row>
    <row r="43" spans="2:25" ht="15" customHeight="1">
      <c r="B43" s="97" t="s">
        <v>74</v>
      </c>
      <c r="C43" s="20"/>
      <c r="D43" s="20"/>
      <c r="E43" s="107">
        <v>25</v>
      </c>
      <c r="F43" s="79">
        <v>63</v>
      </c>
      <c r="G43" s="82">
        <v>93</v>
      </c>
      <c r="H43" s="79">
        <v>13</v>
      </c>
      <c r="I43" s="71">
        <v>26</v>
      </c>
      <c r="J43" s="71">
        <v>0</v>
      </c>
      <c r="K43" s="71">
        <v>0</v>
      </c>
      <c r="L43" s="71">
        <f t="shared" si="0"/>
        <v>13</v>
      </c>
      <c r="M43" s="82">
        <f t="shared" si="0"/>
        <v>26</v>
      </c>
      <c r="N43" s="79">
        <v>52</v>
      </c>
      <c r="O43" s="71">
        <v>1</v>
      </c>
      <c r="P43" s="71">
        <v>51</v>
      </c>
      <c r="Q43" s="82">
        <v>105</v>
      </c>
      <c r="R43" s="79">
        <f>13+105+650-193-20</f>
        <v>555</v>
      </c>
      <c r="S43" s="82">
        <f>26+105+738-193-20</f>
        <v>656</v>
      </c>
      <c r="T43" s="79">
        <v>2</v>
      </c>
      <c r="U43" s="71">
        <v>2</v>
      </c>
      <c r="V43" s="71">
        <v>12</v>
      </c>
      <c r="W43" s="71">
        <v>12</v>
      </c>
      <c r="X43" s="71">
        <v>14</v>
      </c>
      <c r="Y43" s="88">
        <v>14</v>
      </c>
    </row>
    <row r="44" spans="2:25" ht="15" customHeight="1">
      <c r="B44" s="97" t="s">
        <v>76</v>
      </c>
      <c r="C44" s="20">
        <v>1</v>
      </c>
      <c r="D44" s="20" t="s">
        <v>75</v>
      </c>
      <c r="E44" s="33">
        <v>26</v>
      </c>
      <c r="F44" s="79">
        <v>21</v>
      </c>
      <c r="G44" s="82">
        <v>34</v>
      </c>
      <c r="H44" s="79">
        <v>4</v>
      </c>
      <c r="I44" s="71">
        <v>9</v>
      </c>
      <c r="J44" s="71">
        <v>0</v>
      </c>
      <c r="K44" s="71">
        <v>0</v>
      </c>
      <c r="L44" s="71">
        <f t="shared" si="0"/>
        <v>4</v>
      </c>
      <c r="M44" s="82">
        <f t="shared" si="0"/>
        <v>9</v>
      </c>
      <c r="N44" s="79">
        <v>12</v>
      </c>
      <c r="O44" s="71">
        <v>0</v>
      </c>
      <c r="P44" s="71">
        <v>36</v>
      </c>
      <c r="Q44" s="82">
        <v>49</v>
      </c>
      <c r="R44" s="79">
        <f>4+49+216-71-17</f>
        <v>181</v>
      </c>
      <c r="S44" s="82">
        <f>9+49+242-71-17</f>
        <v>212</v>
      </c>
      <c r="T44" s="79">
        <v>2</v>
      </c>
      <c r="U44" s="71">
        <v>2</v>
      </c>
      <c r="V44" s="71">
        <v>6</v>
      </c>
      <c r="W44" s="71">
        <v>6</v>
      </c>
      <c r="X44" s="71">
        <v>7</v>
      </c>
      <c r="Y44" s="88">
        <v>7</v>
      </c>
    </row>
    <row r="45" spans="2:25" ht="15" customHeight="1">
      <c r="B45" s="97" t="s">
        <v>77</v>
      </c>
      <c r="C45" s="20"/>
      <c r="D45" s="20"/>
      <c r="E45" s="33">
        <v>27</v>
      </c>
      <c r="F45" s="79">
        <v>111</v>
      </c>
      <c r="G45" s="82">
        <v>186</v>
      </c>
      <c r="H45" s="79">
        <v>28</v>
      </c>
      <c r="I45" s="71">
        <v>56</v>
      </c>
      <c r="J45" s="71">
        <v>2</v>
      </c>
      <c r="K45" s="71">
        <v>7</v>
      </c>
      <c r="L45" s="71">
        <f t="shared" si="0"/>
        <v>30</v>
      </c>
      <c r="M45" s="82">
        <f t="shared" si="0"/>
        <v>63</v>
      </c>
      <c r="N45" s="79">
        <v>8</v>
      </c>
      <c r="O45" s="71">
        <v>0</v>
      </c>
      <c r="P45" s="71">
        <v>63</v>
      </c>
      <c r="Q45" s="82">
        <v>71</v>
      </c>
      <c r="R45" s="79">
        <f>30+71+365-82-9</f>
        <v>375</v>
      </c>
      <c r="S45" s="82">
        <f>63+71+527-82-9</f>
        <v>570</v>
      </c>
      <c r="T45" s="79">
        <v>9</v>
      </c>
      <c r="U45" s="71">
        <v>9</v>
      </c>
      <c r="V45" s="71">
        <v>23</v>
      </c>
      <c r="W45" s="71">
        <v>23</v>
      </c>
      <c r="X45" s="71">
        <v>28</v>
      </c>
      <c r="Y45" s="88">
        <v>28</v>
      </c>
    </row>
    <row r="46" spans="2:25" ht="15" customHeight="1">
      <c r="B46" s="97" t="s">
        <v>78</v>
      </c>
      <c r="C46" s="20"/>
      <c r="D46" s="20"/>
      <c r="E46" s="107">
        <v>28</v>
      </c>
      <c r="F46" s="79">
        <v>126</v>
      </c>
      <c r="G46" s="82">
        <v>227</v>
      </c>
      <c r="H46" s="79">
        <v>34</v>
      </c>
      <c r="I46" s="71">
        <v>73</v>
      </c>
      <c r="J46" s="71">
        <v>1</v>
      </c>
      <c r="K46" s="71">
        <v>5</v>
      </c>
      <c r="L46" s="71">
        <f t="shared" si="0"/>
        <v>35</v>
      </c>
      <c r="M46" s="82">
        <f t="shared" si="0"/>
        <v>78</v>
      </c>
      <c r="N46" s="79">
        <v>14</v>
      </c>
      <c r="O46" s="71">
        <v>0</v>
      </c>
      <c r="P46" s="71">
        <v>34</v>
      </c>
      <c r="Q46" s="82">
        <v>48</v>
      </c>
      <c r="R46" s="79">
        <f>35+48+612-141-25</f>
        <v>529</v>
      </c>
      <c r="S46" s="82">
        <f>78+48+788-141-25</f>
        <v>748</v>
      </c>
      <c r="T46" s="79">
        <v>7</v>
      </c>
      <c r="U46" s="71">
        <v>7</v>
      </c>
      <c r="V46" s="71">
        <v>25</v>
      </c>
      <c r="W46" s="71">
        <v>25</v>
      </c>
      <c r="X46" s="71">
        <v>28</v>
      </c>
      <c r="Y46" s="88">
        <v>28</v>
      </c>
    </row>
    <row r="47" spans="2:25" ht="15" customHeight="1">
      <c r="B47" s="97" t="s">
        <v>79</v>
      </c>
      <c r="C47" s="20">
        <v>1</v>
      </c>
      <c r="D47" s="20" t="s">
        <v>52</v>
      </c>
      <c r="E47" s="33">
        <v>29</v>
      </c>
      <c r="F47" s="79">
        <v>2</v>
      </c>
      <c r="G47" s="82">
        <v>2</v>
      </c>
      <c r="H47" s="79">
        <v>0</v>
      </c>
      <c r="I47" s="71">
        <v>0</v>
      </c>
      <c r="J47" s="71">
        <v>0</v>
      </c>
      <c r="K47" s="71">
        <v>0</v>
      </c>
      <c r="L47" s="71">
        <f t="shared" si="0"/>
        <v>0</v>
      </c>
      <c r="M47" s="82">
        <f t="shared" si="0"/>
        <v>0</v>
      </c>
      <c r="N47" s="79">
        <v>0</v>
      </c>
      <c r="O47" s="71">
        <v>0</v>
      </c>
      <c r="P47" s="71">
        <v>3</v>
      </c>
      <c r="Q47" s="82">
        <v>3</v>
      </c>
      <c r="R47" s="79">
        <f>3+18-3-1</f>
        <v>17</v>
      </c>
      <c r="S47" s="82">
        <f>3+27-3-1</f>
        <v>26</v>
      </c>
      <c r="T47" s="79">
        <v>0</v>
      </c>
      <c r="U47" s="71">
        <v>0</v>
      </c>
      <c r="V47" s="71">
        <v>2</v>
      </c>
      <c r="W47" s="71">
        <v>2</v>
      </c>
      <c r="X47" s="71">
        <v>2</v>
      </c>
      <c r="Y47" s="88">
        <v>2</v>
      </c>
    </row>
    <row r="48" spans="2:25" ht="15" customHeight="1">
      <c r="B48" s="97" t="s">
        <v>80</v>
      </c>
      <c r="C48" s="20">
        <v>1</v>
      </c>
      <c r="D48" s="20" t="s">
        <v>47</v>
      </c>
      <c r="E48" s="33">
        <v>30</v>
      </c>
      <c r="F48" s="79">
        <v>20</v>
      </c>
      <c r="G48" s="82">
        <v>28</v>
      </c>
      <c r="H48" s="79">
        <v>3</v>
      </c>
      <c r="I48" s="71">
        <v>6</v>
      </c>
      <c r="J48" s="71">
        <v>0</v>
      </c>
      <c r="K48" s="71">
        <v>0</v>
      </c>
      <c r="L48" s="71">
        <f t="shared" si="0"/>
        <v>3</v>
      </c>
      <c r="M48" s="82">
        <f t="shared" si="0"/>
        <v>6</v>
      </c>
      <c r="N48" s="79">
        <v>2</v>
      </c>
      <c r="O48" s="71">
        <v>1</v>
      </c>
      <c r="P48" s="71">
        <v>24</v>
      </c>
      <c r="Q48" s="82">
        <v>27</v>
      </c>
      <c r="R48" s="79">
        <f>3+27+119-35-1</f>
        <v>113</v>
      </c>
      <c r="S48" s="82">
        <f>6+27+162-35-1</f>
        <v>159</v>
      </c>
      <c r="T48" s="79">
        <v>1</v>
      </c>
      <c r="U48" s="71">
        <v>1</v>
      </c>
      <c r="V48" s="71">
        <v>6</v>
      </c>
      <c r="W48" s="71">
        <v>6</v>
      </c>
      <c r="X48" s="71">
        <v>6</v>
      </c>
      <c r="Y48" s="88">
        <v>6</v>
      </c>
    </row>
    <row r="49" spans="2:25" ht="15" customHeight="1">
      <c r="B49" s="97" t="s">
        <v>81</v>
      </c>
      <c r="C49" s="20">
        <v>1</v>
      </c>
      <c r="D49" s="20" t="s">
        <v>52</v>
      </c>
      <c r="E49" s="107">
        <v>31</v>
      </c>
      <c r="F49" s="79">
        <v>5</v>
      </c>
      <c r="G49" s="82">
        <v>7</v>
      </c>
      <c r="H49" s="79">
        <v>1</v>
      </c>
      <c r="I49" s="71">
        <v>1</v>
      </c>
      <c r="J49" s="71">
        <v>0</v>
      </c>
      <c r="K49" s="71">
        <v>0</v>
      </c>
      <c r="L49" s="71">
        <f t="shared" si="0"/>
        <v>1</v>
      </c>
      <c r="M49" s="82">
        <f t="shared" si="0"/>
        <v>1</v>
      </c>
      <c r="N49" s="79">
        <v>1</v>
      </c>
      <c r="O49" s="71">
        <v>0</v>
      </c>
      <c r="P49" s="71">
        <v>4</v>
      </c>
      <c r="Q49" s="82">
        <v>5</v>
      </c>
      <c r="R49" s="79">
        <f>1+5+35-4-1</f>
        <v>36</v>
      </c>
      <c r="S49" s="82">
        <f>1+5+50-4-1</f>
        <v>51</v>
      </c>
      <c r="T49" s="79">
        <v>0</v>
      </c>
      <c r="U49" s="71">
        <v>0</v>
      </c>
      <c r="V49" s="71">
        <v>2</v>
      </c>
      <c r="W49" s="71">
        <v>2</v>
      </c>
      <c r="X49" s="71">
        <v>2</v>
      </c>
      <c r="Y49" s="88">
        <v>2</v>
      </c>
    </row>
    <row r="50" spans="2:25" ht="15" customHeight="1">
      <c r="B50" s="97" t="s">
        <v>82</v>
      </c>
      <c r="C50" s="20"/>
      <c r="D50" s="20"/>
      <c r="E50" s="33">
        <v>32</v>
      </c>
      <c r="F50" s="79">
        <v>72</v>
      </c>
      <c r="G50" s="82">
        <v>127</v>
      </c>
      <c r="H50" s="79">
        <v>21</v>
      </c>
      <c r="I50" s="71">
        <v>41</v>
      </c>
      <c r="J50" s="71">
        <v>1</v>
      </c>
      <c r="K50" s="71">
        <v>6</v>
      </c>
      <c r="L50" s="71">
        <f t="shared" si="0"/>
        <v>22</v>
      </c>
      <c r="M50" s="82">
        <f t="shared" si="0"/>
        <v>47</v>
      </c>
      <c r="N50" s="79">
        <v>1</v>
      </c>
      <c r="O50" s="71">
        <v>1</v>
      </c>
      <c r="P50" s="71">
        <v>34</v>
      </c>
      <c r="Q50" s="82">
        <v>36</v>
      </c>
      <c r="R50" s="79">
        <f>22+36+300-65-9</f>
        <v>284</v>
      </c>
      <c r="S50" s="82">
        <f>47+36+430-65-9</f>
        <v>439</v>
      </c>
      <c r="T50" s="79">
        <v>3</v>
      </c>
      <c r="U50" s="71">
        <v>3</v>
      </c>
      <c r="V50" s="71">
        <v>18</v>
      </c>
      <c r="W50" s="71">
        <v>18</v>
      </c>
      <c r="X50" s="71">
        <v>19</v>
      </c>
      <c r="Y50" s="88">
        <v>19</v>
      </c>
    </row>
    <row r="51" spans="2:25" ht="15" customHeight="1">
      <c r="B51" s="97" t="s">
        <v>83</v>
      </c>
      <c r="C51" s="20"/>
      <c r="D51" s="20"/>
      <c r="E51" s="33">
        <v>33</v>
      </c>
      <c r="F51" s="79">
        <v>71</v>
      </c>
      <c r="G51" s="82">
        <v>123</v>
      </c>
      <c r="H51" s="79">
        <v>20</v>
      </c>
      <c r="I51" s="71">
        <v>42</v>
      </c>
      <c r="J51" s="71">
        <v>0</v>
      </c>
      <c r="K51" s="71">
        <v>0</v>
      </c>
      <c r="L51" s="71">
        <f aca="true" t="shared" si="1" ref="L51:M82">SUM(H51,J51)</f>
        <v>20</v>
      </c>
      <c r="M51" s="82">
        <f t="shared" si="1"/>
        <v>42</v>
      </c>
      <c r="N51" s="79">
        <v>21</v>
      </c>
      <c r="O51" s="71">
        <v>0</v>
      </c>
      <c r="P51" s="71">
        <v>22</v>
      </c>
      <c r="Q51" s="82">
        <v>43</v>
      </c>
      <c r="R51" s="79">
        <f>20+43+660-161-40</f>
        <v>522</v>
      </c>
      <c r="S51" s="82">
        <f>42+43+761-161-40</f>
        <v>645</v>
      </c>
      <c r="T51" s="79">
        <v>6</v>
      </c>
      <c r="U51" s="71">
        <v>7</v>
      </c>
      <c r="V51" s="71">
        <v>19</v>
      </c>
      <c r="W51" s="71">
        <v>19</v>
      </c>
      <c r="X51" s="71">
        <v>24</v>
      </c>
      <c r="Y51" s="88">
        <v>24</v>
      </c>
    </row>
    <row r="52" spans="2:25" ht="15" customHeight="1">
      <c r="B52" s="97" t="s">
        <v>84</v>
      </c>
      <c r="C52" s="20" t="s">
        <v>63</v>
      </c>
      <c r="D52" s="20"/>
      <c r="E52" s="107">
        <v>34</v>
      </c>
      <c r="F52" s="79">
        <v>1206</v>
      </c>
      <c r="G52" s="82">
        <v>2093</v>
      </c>
      <c r="H52" s="79">
        <v>314</v>
      </c>
      <c r="I52" s="71">
        <v>642</v>
      </c>
      <c r="J52" s="71">
        <v>9</v>
      </c>
      <c r="K52" s="71">
        <v>34</v>
      </c>
      <c r="L52" s="71">
        <f t="shared" si="1"/>
        <v>323</v>
      </c>
      <c r="M52" s="82">
        <f t="shared" si="1"/>
        <v>676</v>
      </c>
      <c r="N52" s="79">
        <v>179</v>
      </c>
      <c r="O52" s="71">
        <v>1</v>
      </c>
      <c r="P52" s="71">
        <v>364</v>
      </c>
      <c r="Q52" s="82">
        <v>545</v>
      </c>
      <c r="R52" s="79">
        <f>323+545+4614-1087-151</f>
        <v>4244</v>
      </c>
      <c r="S52" s="82">
        <f>676+545+6201-1087-151</f>
        <v>6184</v>
      </c>
      <c r="T52" s="79">
        <v>65</v>
      </c>
      <c r="U52" s="71">
        <v>65</v>
      </c>
      <c r="V52" s="71">
        <v>336</v>
      </c>
      <c r="W52" s="71">
        <v>336</v>
      </c>
      <c r="X52" s="71">
        <v>372</v>
      </c>
      <c r="Y52" s="88">
        <v>372</v>
      </c>
    </row>
    <row r="53" spans="2:25" ht="15" customHeight="1">
      <c r="B53" s="97" t="s">
        <v>85</v>
      </c>
      <c r="C53" s="20"/>
      <c r="D53" s="20"/>
      <c r="E53" s="33">
        <v>35</v>
      </c>
      <c r="F53" s="79">
        <v>20</v>
      </c>
      <c r="G53" s="82">
        <v>25</v>
      </c>
      <c r="H53" s="79">
        <v>2</v>
      </c>
      <c r="I53" s="71">
        <v>5</v>
      </c>
      <c r="J53" s="71">
        <v>0</v>
      </c>
      <c r="K53" s="71">
        <v>0</v>
      </c>
      <c r="L53" s="71">
        <f t="shared" si="1"/>
        <v>2</v>
      </c>
      <c r="M53" s="82">
        <f t="shared" si="1"/>
        <v>5</v>
      </c>
      <c r="N53" s="79">
        <v>3</v>
      </c>
      <c r="O53" s="71">
        <v>0</v>
      </c>
      <c r="P53" s="71">
        <v>11</v>
      </c>
      <c r="Q53" s="82">
        <v>15</v>
      </c>
      <c r="R53" s="79">
        <f>2+15+233-64-15</f>
        <v>171</v>
      </c>
      <c r="S53" s="82">
        <f>5+15+263-64-15</f>
        <v>204</v>
      </c>
      <c r="T53" s="79">
        <v>1</v>
      </c>
      <c r="U53" s="71">
        <v>1</v>
      </c>
      <c r="V53" s="71">
        <v>6</v>
      </c>
      <c r="W53" s="71">
        <v>6</v>
      </c>
      <c r="X53" s="71">
        <v>6</v>
      </c>
      <c r="Y53" s="88">
        <v>6</v>
      </c>
    </row>
    <row r="54" spans="2:25" ht="15" customHeight="1">
      <c r="B54" s="97" t="s">
        <v>86</v>
      </c>
      <c r="C54" s="20">
        <v>1</v>
      </c>
      <c r="D54" s="20" t="s">
        <v>75</v>
      </c>
      <c r="E54" s="33">
        <v>36</v>
      </c>
      <c r="F54" s="79">
        <v>32</v>
      </c>
      <c r="G54" s="82">
        <v>55</v>
      </c>
      <c r="H54" s="79">
        <v>7</v>
      </c>
      <c r="I54" s="71">
        <v>17</v>
      </c>
      <c r="J54" s="71">
        <v>0</v>
      </c>
      <c r="K54" s="71">
        <v>3</v>
      </c>
      <c r="L54" s="71">
        <f t="shared" si="1"/>
        <v>7</v>
      </c>
      <c r="M54" s="82">
        <f t="shared" si="1"/>
        <v>20</v>
      </c>
      <c r="N54" s="79">
        <v>7</v>
      </c>
      <c r="O54" s="71">
        <v>0</v>
      </c>
      <c r="P54" s="71">
        <v>41</v>
      </c>
      <c r="Q54" s="82">
        <v>48</v>
      </c>
      <c r="R54" s="79">
        <f>7+48+184-34-8</f>
        <v>197</v>
      </c>
      <c r="S54" s="82">
        <f>20+48+236-34-8</f>
        <v>262</v>
      </c>
      <c r="T54" s="79">
        <v>3</v>
      </c>
      <c r="U54" s="71">
        <v>3</v>
      </c>
      <c r="V54" s="71">
        <v>8</v>
      </c>
      <c r="W54" s="71">
        <v>8</v>
      </c>
      <c r="X54" s="71">
        <v>9</v>
      </c>
      <c r="Y54" s="88">
        <v>9</v>
      </c>
    </row>
    <row r="55" spans="2:25" ht="15" customHeight="1">
      <c r="B55" s="97" t="s">
        <v>87</v>
      </c>
      <c r="C55" s="20"/>
      <c r="D55" s="20"/>
      <c r="E55" s="107">
        <v>37</v>
      </c>
      <c r="F55" s="79">
        <v>306</v>
      </c>
      <c r="G55" s="82">
        <v>606</v>
      </c>
      <c r="H55" s="79">
        <v>87</v>
      </c>
      <c r="I55" s="71">
        <v>208</v>
      </c>
      <c r="J55" s="71">
        <v>2</v>
      </c>
      <c r="K55" s="71">
        <v>8</v>
      </c>
      <c r="L55" s="71">
        <f t="shared" si="1"/>
        <v>89</v>
      </c>
      <c r="M55" s="82">
        <f t="shared" si="1"/>
        <v>216</v>
      </c>
      <c r="N55" s="79">
        <v>15</v>
      </c>
      <c r="O55" s="71">
        <v>0</v>
      </c>
      <c r="P55" s="71">
        <v>40</v>
      </c>
      <c r="Q55" s="82">
        <v>56</v>
      </c>
      <c r="R55" s="79">
        <f>89+56+917-219-15</f>
        <v>828</v>
      </c>
      <c r="S55" s="82">
        <f>216+56+1257-219-15</f>
        <v>1295</v>
      </c>
      <c r="T55" s="79">
        <v>11</v>
      </c>
      <c r="U55" s="71">
        <v>12</v>
      </c>
      <c r="V55" s="71">
        <v>51</v>
      </c>
      <c r="W55" s="71">
        <v>51</v>
      </c>
      <c r="X55" s="71">
        <v>56</v>
      </c>
      <c r="Y55" s="88">
        <v>57</v>
      </c>
    </row>
    <row r="56" spans="2:25" ht="15" customHeight="1">
      <c r="B56" s="97" t="s">
        <v>88</v>
      </c>
      <c r="C56" s="20">
        <v>1</v>
      </c>
      <c r="D56" s="20" t="s">
        <v>75</v>
      </c>
      <c r="E56" s="33">
        <v>38</v>
      </c>
      <c r="F56" s="79">
        <v>15</v>
      </c>
      <c r="G56" s="82">
        <v>25</v>
      </c>
      <c r="H56" s="79">
        <v>11</v>
      </c>
      <c r="I56" s="71">
        <v>20</v>
      </c>
      <c r="J56" s="71">
        <v>0</v>
      </c>
      <c r="K56" s="71">
        <v>0</v>
      </c>
      <c r="L56" s="71">
        <f t="shared" si="1"/>
        <v>11</v>
      </c>
      <c r="M56" s="82">
        <f t="shared" si="1"/>
        <v>20</v>
      </c>
      <c r="N56" s="79">
        <v>0</v>
      </c>
      <c r="O56" s="71">
        <v>0</v>
      </c>
      <c r="P56" s="71">
        <v>10</v>
      </c>
      <c r="Q56" s="82">
        <v>10</v>
      </c>
      <c r="R56" s="79">
        <f>11+10+199-42-7</f>
        <v>171</v>
      </c>
      <c r="S56" s="82">
        <f>20+10+226-42-7</f>
        <v>207</v>
      </c>
      <c r="T56" s="79">
        <v>1</v>
      </c>
      <c r="U56" s="71">
        <v>1</v>
      </c>
      <c r="V56" s="71">
        <v>2</v>
      </c>
      <c r="W56" s="71">
        <v>2</v>
      </c>
      <c r="X56" s="71">
        <v>3</v>
      </c>
      <c r="Y56" s="88">
        <v>3</v>
      </c>
    </row>
    <row r="57" spans="2:25" ht="15" customHeight="1">
      <c r="B57" s="97" t="s">
        <v>89</v>
      </c>
      <c r="C57" s="20"/>
      <c r="D57" s="20"/>
      <c r="E57" s="107">
        <v>40</v>
      </c>
      <c r="F57" s="79">
        <v>23</v>
      </c>
      <c r="G57" s="82">
        <v>41</v>
      </c>
      <c r="H57" s="79">
        <v>6</v>
      </c>
      <c r="I57" s="71">
        <v>19</v>
      </c>
      <c r="J57" s="71">
        <v>0</v>
      </c>
      <c r="K57" s="71">
        <v>0</v>
      </c>
      <c r="L57" s="71">
        <f t="shared" si="1"/>
        <v>6</v>
      </c>
      <c r="M57" s="82">
        <f t="shared" si="1"/>
        <v>19</v>
      </c>
      <c r="N57" s="79">
        <v>3</v>
      </c>
      <c r="O57" s="71">
        <v>0</v>
      </c>
      <c r="P57" s="71">
        <v>4</v>
      </c>
      <c r="Q57" s="82">
        <v>8</v>
      </c>
      <c r="R57" s="79">
        <f>6+8+72-13-4</f>
        <v>69</v>
      </c>
      <c r="S57" s="82">
        <f>19+8+103-13-4</f>
        <v>113</v>
      </c>
      <c r="T57" s="79">
        <v>0</v>
      </c>
      <c r="U57" s="71">
        <v>0</v>
      </c>
      <c r="V57" s="71">
        <v>2</v>
      </c>
      <c r="W57" s="71">
        <v>2</v>
      </c>
      <c r="X57" s="71">
        <v>2</v>
      </c>
      <c r="Y57" s="88">
        <v>2</v>
      </c>
    </row>
    <row r="58" spans="2:25" ht="15" customHeight="1">
      <c r="B58" s="97" t="s">
        <v>90</v>
      </c>
      <c r="C58" s="20"/>
      <c r="D58" s="20"/>
      <c r="E58" s="33">
        <v>41</v>
      </c>
      <c r="F58" s="79">
        <v>40</v>
      </c>
      <c r="G58" s="82">
        <v>72</v>
      </c>
      <c r="H58" s="79">
        <v>15</v>
      </c>
      <c r="I58" s="71">
        <v>29</v>
      </c>
      <c r="J58" s="71">
        <v>0</v>
      </c>
      <c r="K58" s="71">
        <v>1</v>
      </c>
      <c r="L58" s="71">
        <f t="shared" si="1"/>
        <v>15</v>
      </c>
      <c r="M58" s="82">
        <f t="shared" si="1"/>
        <v>30</v>
      </c>
      <c r="N58" s="79">
        <v>2</v>
      </c>
      <c r="O58" s="71">
        <v>2</v>
      </c>
      <c r="P58" s="71">
        <v>24</v>
      </c>
      <c r="Q58" s="82">
        <v>28</v>
      </c>
      <c r="R58" s="79">
        <f>15+28+256-56-16</f>
        <v>227</v>
      </c>
      <c r="S58" s="82">
        <f>30+28+328-56-16</f>
        <v>314</v>
      </c>
      <c r="T58" s="79">
        <v>2</v>
      </c>
      <c r="U58" s="71">
        <v>2</v>
      </c>
      <c r="V58" s="71">
        <v>6</v>
      </c>
      <c r="W58" s="71">
        <v>6</v>
      </c>
      <c r="X58" s="71">
        <v>8</v>
      </c>
      <c r="Y58" s="88">
        <v>8</v>
      </c>
    </row>
    <row r="59" spans="2:25" ht="15" customHeight="1">
      <c r="B59" s="97" t="s">
        <v>91</v>
      </c>
      <c r="C59" s="20"/>
      <c r="D59" s="20"/>
      <c r="E59" s="33">
        <v>42</v>
      </c>
      <c r="F59" s="79">
        <v>67</v>
      </c>
      <c r="G59" s="82">
        <v>122</v>
      </c>
      <c r="H59" s="79">
        <v>18</v>
      </c>
      <c r="I59" s="71">
        <v>43</v>
      </c>
      <c r="J59" s="71">
        <v>1</v>
      </c>
      <c r="K59" s="71">
        <v>4</v>
      </c>
      <c r="L59" s="71">
        <f t="shared" si="1"/>
        <v>19</v>
      </c>
      <c r="M59" s="82">
        <f t="shared" si="1"/>
        <v>47</v>
      </c>
      <c r="N59" s="79">
        <v>10</v>
      </c>
      <c r="O59" s="71">
        <v>1</v>
      </c>
      <c r="P59" s="71">
        <v>63</v>
      </c>
      <c r="Q59" s="82">
        <v>74</v>
      </c>
      <c r="R59" s="79">
        <f>19+74+339-81-20</f>
        <v>331</v>
      </c>
      <c r="S59" s="82">
        <f>47+74+457-81-20</f>
        <v>477</v>
      </c>
      <c r="T59" s="79">
        <v>2</v>
      </c>
      <c r="U59" s="71">
        <v>3</v>
      </c>
      <c r="V59" s="71">
        <v>17</v>
      </c>
      <c r="W59" s="71">
        <v>17</v>
      </c>
      <c r="X59" s="71">
        <v>17</v>
      </c>
      <c r="Y59" s="88">
        <v>18</v>
      </c>
    </row>
    <row r="60" spans="2:25" ht="15" customHeight="1">
      <c r="B60" s="97" t="s">
        <v>92</v>
      </c>
      <c r="C60" s="20"/>
      <c r="D60" s="20"/>
      <c r="E60" s="107">
        <v>43</v>
      </c>
      <c r="F60" s="79">
        <v>1753</v>
      </c>
      <c r="G60" s="82">
        <v>3549</v>
      </c>
      <c r="H60" s="79">
        <v>676</v>
      </c>
      <c r="I60" s="71">
        <v>1572</v>
      </c>
      <c r="J60" s="71">
        <v>23</v>
      </c>
      <c r="K60" s="71">
        <v>93</v>
      </c>
      <c r="L60" s="71">
        <f t="shared" si="1"/>
        <v>699</v>
      </c>
      <c r="M60" s="82">
        <f t="shared" si="1"/>
        <v>1665</v>
      </c>
      <c r="N60" s="79">
        <v>136</v>
      </c>
      <c r="O60" s="71">
        <v>4</v>
      </c>
      <c r="P60" s="71">
        <v>354</v>
      </c>
      <c r="Q60" s="82">
        <v>495</v>
      </c>
      <c r="R60" s="79">
        <f>699+495+4311-974-113</f>
        <v>4418</v>
      </c>
      <c r="S60" s="82">
        <f>1665+495+6137-974-113</f>
        <v>7210</v>
      </c>
      <c r="T60" s="79">
        <v>84</v>
      </c>
      <c r="U60" s="71">
        <v>84</v>
      </c>
      <c r="V60" s="71">
        <v>294</v>
      </c>
      <c r="W60" s="71">
        <v>294</v>
      </c>
      <c r="X60" s="71">
        <v>334</v>
      </c>
      <c r="Y60" s="88">
        <v>335</v>
      </c>
    </row>
    <row r="61" spans="2:25" ht="15" customHeight="1">
      <c r="B61" s="97" t="s">
        <v>93</v>
      </c>
      <c r="C61" s="20"/>
      <c r="D61" s="20"/>
      <c r="E61" s="33">
        <v>44</v>
      </c>
      <c r="F61" s="79">
        <v>609</v>
      </c>
      <c r="G61" s="82">
        <v>1038</v>
      </c>
      <c r="H61" s="79">
        <v>188</v>
      </c>
      <c r="I61" s="71">
        <v>405</v>
      </c>
      <c r="J61" s="71">
        <v>2</v>
      </c>
      <c r="K61" s="71">
        <v>11</v>
      </c>
      <c r="L61" s="71">
        <f t="shared" si="1"/>
        <v>190</v>
      </c>
      <c r="M61" s="82">
        <f t="shared" si="1"/>
        <v>416</v>
      </c>
      <c r="N61" s="79">
        <v>67</v>
      </c>
      <c r="O61" s="71">
        <v>0</v>
      </c>
      <c r="P61" s="71">
        <v>183</v>
      </c>
      <c r="Q61" s="82">
        <v>250</v>
      </c>
      <c r="R61" s="79">
        <f>190+250+1436-342-27</f>
        <v>1507</v>
      </c>
      <c r="S61" s="82">
        <f>416+250+1907-342-27</f>
        <v>2204</v>
      </c>
      <c r="T61" s="79">
        <v>29</v>
      </c>
      <c r="U61" s="71">
        <v>30</v>
      </c>
      <c r="V61" s="71">
        <v>133</v>
      </c>
      <c r="W61" s="71">
        <v>133</v>
      </c>
      <c r="X61" s="71">
        <v>148</v>
      </c>
      <c r="Y61" s="88">
        <v>149</v>
      </c>
    </row>
    <row r="62" spans="2:25" ht="15" customHeight="1">
      <c r="B62" s="97" t="s">
        <v>94</v>
      </c>
      <c r="C62" s="20"/>
      <c r="D62" s="20"/>
      <c r="E62" s="33">
        <v>45</v>
      </c>
      <c r="F62" s="79">
        <v>81</v>
      </c>
      <c r="G62" s="82">
        <v>132</v>
      </c>
      <c r="H62" s="79">
        <v>22</v>
      </c>
      <c r="I62" s="71">
        <v>44</v>
      </c>
      <c r="J62" s="71">
        <v>0</v>
      </c>
      <c r="K62" s="71">
        <v>0</v>
      </c>
      <c r="L62" s="71">
        <f t="shared" si="1"/>
        <v>22</v>
      </c>
      <c r="M62" s="82">
        <f t="shared" si="1"/>
        <v>44</v>
      </c>
      <c r="N62" s="79">
        <v>12</v>
      </c>
      <c r="O62" s="71">
        <v>1</v>
      </c>
      <c r="P62" s="71">
        <v>44</v>
      </c>
      <c r="Q62" s="82">
        <v>57</v>
      </c>
      <c r="R62" s="79">
        <f>22+57+476-127-18</f>
        <v>410</v>
      </c>
      <c r="S62" s="82">
        <f>44+57+625-127-18</f>
        <v>581</v>
      </c>
      <c r="T62" s="79">
        <v>4</v>
      </c>
      <c r="U62" s="71">
        <v>4</v>
      </c>
      <c r="V62" s="71">
        <v>24</v>
      </c>
      <c r="W62" s="71">
        <v>24</v>
      </c>
      <c r="X62" s="71">
        <v>26</v>
      </c>
      <c r="Y62" s="88">
        <v>26</v>
      </c>
    </row>
    <row r="63" spans="2:25" ht="15" customHeight="1">
      <c r="B63" s="97" t="s">
        <v>95</v>
      </c>
      <c r="C63" s="20"/>
      <c r="D63" s="20"/>
      <c r="E63" s="33">
        <v>47</v>
      </c>
      <c r="F63" s="79">
        <v>99</v>
      </c>
      <c r="G63" s="82">
        <v>173</v>
      </c>
      <c r="H63" s="79">
        <v>22</v>
      </c>
      <c r="I63" s="71">
        <v>41</v>
      </c>
      <c r="J63" s="71">
        <v>2</v>
      </c>
      <c r="K63" s="71">
        <v>10</v>
      </c>
      <c r="L63" s="71">
        <f t="shared" si="1"/>
        <v>24</v>
      </c>
      <c r="M63" s="82">
        <f t="shared" si="1"/>
        <v>51</v>
      </c>
      <c r="N63" s="79">
        <v>11</v>
      </c>
      <c r="O63" s="71">
        <v>0</v>
      </c>
      <c r="P63" s="71">
        <v>27</v>
      </c>
      <c r="Q63" s="82">
        <v>39</v>
      </c>
      <c r="R63" s="79">
        <f>24+39+609-162-18</f>
        <v>492</v>
      </c>
      <c r="S63" s="82">
        <f>51+39+752-162-18</f>
        <v>662</v>
      </c>
      <c r="T63" s="79">
        <v>4</v>
      </c>
      <c r="U63" s="71">
        <v>4</v>
      </c>
      <c r="V63" s="71">
        <v>19</v>
      </c>
      <c r="W63" s="71">
        <v>19</v>
      </c>
      <c r="X63" s="71">
        <v>20</v>
      </c>
      <c r="Y63" s="88">
        <v>20</v>
      </c>
    </row>
    <row r="64" spans="2:25" ht="15" customHeight="1">
      <c r="B64" s="97" t="s">
        <v>96</v>
      </c>
      <c r="C64" s="20">
        <v>1</v>
      </c>
      <c r="D64" s="20" t="s">
        <v>52</v>
      </c>
      <c r="E64" s="33">
        <v>39</v>
      </c>
      <c r="F64" s="79">
        <v>10</v>
      </c>
      <c r="G64" s="82">
        <v>23</v>
      </c>
      <c r="H64" s="79">
        <v>1</v>
      </c>
      <c r="I64" s="71">
        <v>1</v>
      </c>
      <c r="J64" s="71">
        <v>0</v>
      </c>
      <c r="K64" s="71">
        <v>1</v>
      </c>
      <c r="L64" s="71">
        <f t="shared" si="1"/>
        <v>1</v>
      </c>
      <c r="M64" s="82">
        <f t="shared" si="1"/>
        <v>2</v>
      </c>
      <c r="N64" s="79">
        <v>1</v>
      </c>
      <c r="O64" s="71">
        <v>0</v>
      </c>
      <c r="P64" s="71">
        <v>3</v>
      </c>
      <c r="Q64" s="82">
        <v>4</v>
      </c>
      <c r="R64" s="79">
        <f>1+4+32-4</f>
        <v>33</v>
      </c>
      <c r="S64" s="82">
        <f>2+4+50-4</f>
        <v>52</v>
      </c>
      <c r="T64" s="79">
        <v>0</v>
      </c>
      <c r="U64" s="71">
        <v>0</v>
      </c>
      <c r="V64" s="71">
        <v>2</v>
      </c>
      <c r="W64" s="71">
        <v>2</v>
      </c>
      <c r="X64" s="71">
        <v>2</v>
      </c>
      <c r="Y64" s="88">
        <v>2</v>
      </c>
    </row>
    <row r="65" spans="2:25" ht="15" customHeight="1">
      <c r="B65" s="97" t="s">
        <v>105</v>
      </c>
      <c r="C65" s="20">
        <v>1</v>
      </c>
      <c r="D65" s="20" t="s">
        <v>47</v>
      </c>
      <c r="E65" s="107">
        <v>46</v>
      </c>
      <c r="F65" s="79">
        <v>4</v>
      </c>
      <c r="G65" s="82">
        <v>4</v>
      </c>
      <c r="H65" s="79">
        <v>0</v>
      </c>
      <c r="I65" s="71">
        <v>0</v>
      </c>
      <c r="J65" s="71">
        <v>0</v>
      </c>
      <c r="K65" s="71">
        <v>0</v>
      </c>
      <c r="L65" s="71">
        <f t="shared" si="1"/>
        <v>0</v>
      </c>
      <c r="M65" s="82">
        <f t="shared" si="1"/>
        <v>0</v>
      </c>
      <c r="N65" s="79">
        <v>1</v>
      </c>
      <c r="O65" s="71">
        <v>0</v>
      </c>
      <c r="P65" s="71">
        <v>10</v>
      </c>
      <c r="Q65" s="82">
        <v>11</v>
      </c>
      <c r="R65" s="79">
        <f>11+45-10-4</f>
        <v>42</v>
      </c>
      <c r="S65" s="82">
        <f>11+47-10-4</f>
        <v>44</v>
      </c>
      <c r="T65" s="79">
        <v>0</v>
      </c>
      <c r="U65" s="71">
        <v>0</v>
      </c>
      <c r="V65" s="71">
        <v>2</v>
      </c>
      <c r="W65" s="71">
        <v>2</v>
      </c>
      <c r="X65" s="71">
        <v>2</v>
      </c>
      <c r="Y65" s="88">
        <v>2</v>
      </c>
    </row>
    <row r="66" spans="2:25" ht="15" customHeight="1">
      <c r="B66" s="97" t="s">
        <v>106</v>
      </c>
      <c r="C66" s="20"/>
      <c r="D66" s="20"/>
      <c r="E66" s="33">
        <v>48</v>
      </c>
      <c r="F66" s="79">
        <v>63</v>
      </c>
      <c r="G66" s="82">
        <v>95</v>
      </c>
      <c r="H66" s="79">
        <v>16</v>
      </c>
      <c r="I66" s="71">
        <v>32</v>
      </c>
      <c r="J66" s="71">
        <v>0</v>
      </c>
      <c r="K66" s="71">
        <v>2</v>
      </c>
      <c r="L66" s="71">
        <f t="shared" si="1"/>
        <v>16</v>
      </c>
      <c r="M66" s="82">
        <f t="shared" si="1"/>
        <v>34</v>
      </c>
      <c r="N66" s="79">
        <v>1</v>
      </c>
      <c r="O66" s="71">
        <v>0</v>
      </c>
      <c r="P66" s="71">
        <v>21</v>
      </c>
      <c r="Q66" s="82">
        <v>22</v>
      </c>
      <c r="R66" s="79">
        <f>16+22+213-52-8</f>
        <v>191</v>
      </c>
      <c r="S66" s="82">
        <f>34+22+300-52-8</f>
        <v>296</v>
      </c>
      <c r="T66" s="79">
        <v>4</v>
      </c>
      <c r="U66" s="71">
        <v>6</v>
      </c>
      <c r="V66" s="71">
        <v>14</v>
      </c>
      <c r="W66" s="71">
        <v>14</v>
      </c>
      <c r="X66" s="71">
        <v>18</v>
      </c>
      <c r="Y66" s="88">
        <v>19</v>
      </c>
    </row>
    <row r="67" spans="2:25" ht="15" customHeight="1">
      <c r="B67" s="97" t="s">
        <v>107</v>
      </c>
      <c r="C67" s="20"/>
      <c r="D67" s="20"/>
      <c r="E67" s="107">
        <v>49</v>
      </c>
      <c r="F67" s="79">
        <v>438</v>
      </c>
      <c r="G67" s="82">
        <v>919</v>
      </c>
      <c r="H67" s="79">
        <v>176</v>
      </c>
      <c r="I67" s="71">
        <v>414</v>
      </c>
      <c r="J67" s="71">
        <v>8</v>
      </c>
      <c r="K67" s="71">
        <v>31</v>
      </c>
      <c r="L67" s="71">
        <f t="shared" si="1"/>
        <v>184</v>
      </c>
      <c r="M67" s="82">
        <f t="shared" si="1"/>
        <v>445</v>
      </c>
      <c r="N67" s="79">
        <v>80</v>
      </c>
      <c r="O67" s="71">
        <v>0</v>
      </c>
      <c r="P67" s="71">
        <v>118</v>
      </c>
      <c r="Q67" s="82">
        <v>198</v>
      </c>
      <c r="R67" s="79">
        <f>184+198+1774-473-66</f>
        <v>1617</v>
      </c>
      <c r="S67" s="82">
        <f>445+198+2397-473-66</f>
        <v>2501</v>
      </c>
      <c r="T67" s="79">
        <v>15</v>
      </c>
      <c r="U67" s="71">
        <v>15</v>
      </c>
      <c r="V67" s="71">
        <v>67</v>
      </c>
      <c r="W67" s="71">
        <v>67</v>
      </c>
      <c r="X67" s="71">
        <v>75</v>
      </c>
      <c r="Y67" s="88">
        <v>75</v>
      </c>
    </row>
    <row r="68" spans="2:25" ht="15" customHeight="1">
      <c r="B68" s="97" t="s">
        <v>108</v>
      </c>
      <c r="C68" s="20">
        <v>1</v>
      </c>
      <c r="D68" s="20" t="s">
        <v>75</v>
      </c>
      <c r="E68" s="33">
        <v>50</v>
      </c>
      <c r="F68" s="79">
        <v>27</v>
      </c>
      <c r="G68" s="82">
        <v>47</v>
      </c>
      <c r="H68" s="79">
        <v>6</v>
      </c>
      <c r="I68" s="71">
        <v>17</v>
      </c>
      <c r="J68" s="71">
        <v>0</v>
      </c>
      <c r="K68" s="71">
        <v>1</v>
      </c>
      <c r="L68" s="71">
        <f t="shared" si="1"/>
        <v>6</v>
      </c>
      <c r="M68" s="82">
        <f t="shared" si="1"/>
        <v>18</v>
      </c>
      <c r="N68" s="79">
        <v>20</v>
      </c>
      <c r="O68" s="71">
        <v>0</v>
      </c>
      <c r="P68" s="71">
        <v>67</v>
      </c>
      <c r="Q68" s="82">
        <v>88</v>
      </c>
      <c r="R68" s="79">
        <f>6+88+156-67-14</f>
        <v>169</v>
      </c>
      <c r="S68" s="82">
        <f>18+88+211-67-14</f>
        <v>236</v>
      </c>
      <c r="T68" s="79">
        <v>2</v>
      </c>
      <c r="U68" s="71">
        <v>2</v>
      </c>
      <c r="V68" s="71">
        <v>4</v>
      </c>
      <c r="W68" s="71">
        <v>4</v>
      </c>
      <c r="X68" s="71">
        <v>5</v>
      </c>
      <c r="Y68" s="88">
        <v>5</v>
      </c>
    </row>
    <row r="69" spans="2:25" ht="15" customHeight="1">
      <c r="B69" s="97" t="s">
        <v>109</v>
      </c>
      <c r="C69" s="20" t="s">
        <v>63</v>
      </c>
      <c r="D69" s="20"/>
      <c r="E69" s="33">
        <v>51</v>
      </c>
      <c r="F69" s="79">
        <v>189</v>
      </c>
      <c r="G69" s="82">
        <v>298</v>
      </c>
      <c r="H69" s="79">
        <v>55</v>
      </c>
      <c r="I69" s="71">
        <v>114</v>
      </c>
      <c r="J69" s="71">
        <v>1</v>
      </c>
      <c r="K69" s="71">
        <v>4</v>
      </c>
      <c r="L69" s="71">
        <f t="shared" si="1"/>
        <v>56</v>
      </c>
      <c r="M69" s="82">
        <f t="shared" si="1"/>
        <v>118</v>
      </c>
      <c r="N69" s="79">
        <v>20</v>
      </c>
      <c r="O69" s="71">
        <v>0</v>
      </c>
      <c r="P69" s="71">
        <v>72</v>
      </c>
      <c r="Q69" s="82">
        <v>92</v>
      </c>
      <c r="R69" s="79">
        <f>56+92+1561-382-62</f>
        <v>1265</v>
      </c>
      <c r="S69" s="82">
        <f>118+92+1779-382-62</f>
        <v>1545</v>
      </c>
      <c r="T69" s="79">
        <v>18</v>
      </c>
      <c r="U69" s="71">
        <v>19</v>
      </c>
      <c r="V69" s="71">
        <v>57</v>
      </c>
      <c r="W69" s="71">
        <v>57</v>
      </c>
      <c r="X69" s="71">
        <v>70</v>
      </c>
      <c r="Y69" s="88">
        <v>71</v>
      </c>
    </row>
    <row r="70" spans="2:25" ht="15" customHeight="1">
      <c r="B70" s="97" t="s">
        <v>110</v>
      </c>
      <c r="C70" s="20"/>
      <c r="D70" s="20"/>
      <c r="E70" s="107">
        <v>52</v>
      </c>
      <c r="F70" s="79">
        <v>155</v>
      </c>
      <c r="G70" s="82">
        <v>237</v>
      </c>
      <c r="H70" s="79">
        <v>25</v>
      </c>
      <c r="I70" s="71">
        <v>52</v>
      </c>
      <c r="J70" s="71">
        <v>0</v>
      </c>
      <c r="K70" s="71">
        <v>1</v>
      </c>
      <c r="L70" s="71">
        <f t="shared" si="1"/>
        <v>25</v>
      </c>
      <c r="M70" s="82">
        <f t="shared" si="1"/>
        <v>53</v>
      </c>
      <c r="N70" s="79">
        <v>27</v>
      </c>
      <c r="O70" s="71">
        <v>2</v>
      </c>
      <c r="P70" s="71">
        <v>115</v>
      </c>
      <c r="Q70" s="82">
        <v>144</v>
      </c>
      <c r="R70" s="79">
        <f>25+144+701-234-26</f>
        <v>610</v>
      </c>
      <c r="S70" s="82">
        <f>53+144+807-234-26</f>
        <v>744</v>
      </c>
      <c r="T70" s="79">
        <v>12</v>
      </c>
      <c r="U70" s="71">
        <v>12</v>
      </c>
      <c r="V70" s="71">
        <v>19</v>
      </c>
      <c r="W70" s="71">
        <v>19</v>
      </c>
      <c r="X70" s="71">
        <v>26</v>
      </c>
      <c r="Y70" s="88">
        <v>26</v>
      </c>
    </row>
    <row r="71" spans="2:25" ht="15" customHeight="1">
      <c r="B71" s="97" t="s">
        <v>111</v>
      </c>
      <c r="C71" s="20">
        <v>1</v>
      </c>
      <c r="D71" s="20" t="s">
        <v>47</v>
      </c>
      <c r="E71" s="33">
        <v>53</v>
      </c>
      <c r="F71" s="79">
        <v>6</v>
      </c>
      <c r="G71" s="82">
        <v>13</v>
      </c>
      <c r="H71" s="79">
        <v>3</v>
      </c>
      <c r="I71" s="71">
        <v>8</v>
      </c>
      <c r="J71" s="71">
        <v>0</v>
      </c>
      <c r="K71" s="71">
        <v>1</v>
      </c>
      <c r="L71" s="71">
        <f t="shared" si="1"/>
        <v>3</v>
      </c>
      <c r="M71" s="82">
        <f t="shared" si="1"/>
        <v>9</v>
      </c>
      <c r="N71" s="79">
        <v>0</v>
      </c>
      <c r="O71" s="71">
        <v>0</v>
      </c>
      <c r="P71" s="71">
        <v>0</v>
      </c>
      <c r="Q71" s="82">
        <v>0</v>
      </c>
      <c r="R71" s="79">
        <f>3+52-7-2</f>
        <v>46</v>
      </c>
      <c r="S71" s="82">
        <f>9+66-7-2</f>
        <v>66</v>
      </c>
      <c r="T71" s="79">
        <v>0</v>
      </c>
      <c r="U71" s="71">
        <v>0</v>
      </c>
      <c r="V71" s="71">
        <v>1</v>
      </c>
      <c r="W71" s="71">
        <v>1</v>
      </c>
      <c r="X71" s="71">
        <v>1</v>
      </c>
      <c r="Y71" s="88">
        <v>1</v>
      </c>
    </row>
    <row r="72" spans="2:25" ht="15" customHeight="1">
      <c r="B72" s="97" t="s">
        <v>112</v>
      </c>
      <c r="C72" s="20"/>
      <c r="D72" s="20"/>
      <c r="E72" s="33">
        <v>54</v>
      </c>
      <c r="F72" s="79">
        <v>139</v>
      </c>
      <c r="G72" s="82">
        <v>251</v>
      </c>
      <c r="H72" s="79">
        <v>33</v>
      </c>
      <c r="I72" s="71">
        <v>69</v>
      </c>
      <c r="J72" s="71">
        <v>1</v>
      </c>
      <c r="K72" s="71">
        <v>6</v>
      </c>
      <c r="L72" s="71">
        <f t="shared" si="1"/>
        <v>34</v>
      </c>
      <c r="M72" s="82">
        <f t="shared" si="1"/>
        <v>75</v>
      </c>
      <c r="N72" s="79">
        <v>32</v>
      </c>
      <c r="O72" s="71">
        <v>2</v>
      </c>
      <c r="P72" s="71">
        <v>48</v>
      </c>
      <c r="Q72" s="82">
        <v>82</v>
      </c>
      <c r="R72" s="79">
        <f>34+82+717-205-36</f>
        <v>592</v>
      </c>
      <c r="S72" s="82">
        <f>75+82+905-205-36</f>
        <v>821</v>
      </c>
      <c r="T72" s="79">
        <v>8</v>
      </c>
      <c r="U72" s="71">
        <v>8</v>
      </c>
      <c r="V72" s="71">
        <v>32</v>
      </c>
      <c r="W72" s="71">
        <v>32</v>
      </c>
      <c r="X72" s="71">
        <v>37</v>
      </c>
      <c r="Y72" s="88">
        <v>37</v>
      </c>
    </row>
    <row r="73" spans="2:25" ht="15" customHeight="1">
      <c r="B73" s="97" t="s">
        <v>113</v>
      </c>
      <c r="C73" s="20">
        <v>1</v>
      </c>
      <c r="D73" s="20" t="s">
        <v>52</v>
      </c>
      <c r="E73" s="107">
        <v>55</v>
      </c>
      <c r="F73" s="79">
        <v>15</v>
      </c>
      <c r="G73" s="82">
        <v>21</v>
      </c>
      <c r="H73" s="79">
        <v>4</v>
      </c>
      <c r="I73" s="71">
        <v>5</v>
      </c>
      <c r="J73" s="71">
        <v>0</v>
      </c>
      <c r="K73" s="71">
        <v>0</v>
      </c>
      <c r="L73" s="71">
        <f t="shared" si="1"/>
        <v>4</v>
      </c>
      <c r="M73" s="82">
        <f t="shared" si="1"/>
        <v>5</v>
      </c>
      <c r="N73" s="79">
        <v>2</v>
      </c>
      <c r="O73" s="71">
        <v>0</v>
      </c>
      <c r="P73" s="71">
        <v>5</v>
      </c>
      <c r="Q73" s="82">
        <v>7</v>
      </c>
      <c r="R73" s="79">
        <f>4+7+45-11</f>
        <v>45</v>
      </c>
      <c r="S73" s="82">
        <f>5+7+60-11</f>
        <v>61</v>
      </c>
      <c r="T73" s="79">
        <v>1</v>
      </c>
      <c r="U73" s="71">
        <v>1</v>
      </c>
      <c r="V73" s="71">
        <v>3</v>
      </c>
      <c r="W73" s="71">
        <v>3</v>
      </c>
      <c r="X73" s="71">
        <v>4</v>
      </c>
      <c r="Y73" s="88">
        <v>4</v>
      </c>
    </row>
    <row r="74" spans="2:25" ht="15" customHeight="1">
      <c r="B74" s="97" t="s">
        <v>114</v>
      </c>
      <c r="C74" s="20"/>
      <c r="D74" s="20"/>
      <c r="E74" s="33">
        <v>56</v>
      </c>
      <c r="F74" s="79">
        <v>25</v>
      </c>
      <c r="G74" s="82">
        <v>36</v>
      </c>
      <c r="H74" s="79">
        <v>3</v>
      </c>
      <c r="I74" s="71">
        <v>4</v>
      </c>
      <c r="J74" s="71">
        <v>0</v>
      </c>
      <c r="K74" s="71">
        <v>0</v>
      </c>
      <c r="L74" s="71">
        <f t="shared" si="1"/>
        <v>3</v>
      </c>
      <c r="M74" s="82">
        <f t="shared" si="1"/>
        <v>4</v>
      </c>
      <c r="N74" s="79">
        <v>0</v>
      </c>
      <c r="O74" s="71">
        <v>0</v>
      </c>
      <c r="P74" s="71">
        <v>9</v>
      </c>
      <c r="Q74" s="82">
        <v>9</v>
      </c>
      <c r="R74" s="79">
        <f>3+9+233-51-15</f>
        <v>179</v>
      </c>
      <c r="S74" s="82">
        <f>4+9+294-51-15</f>
        <v>241</v>
      </c>
      <c r="T74" s="79">
        <v>1</v>
      </c>
      <c r="U74" s="71">
        <v>1</v>
      </c>
      <c r="V74" s="71">
        <v>12</v>
      </c>
      <c r="W74" s="71">
        <v>12</v>
      </c>
      <c r="X74" s="71">
        <v>13</v>
      </c>
      <c r="Y74" s="88">
        <v>13</v>
      </c>
    </row>
    <row r="75" spans="2:25" ht="15" customHeight="1">
      <c r="B75" s="97" t="s">
        <v>115</v>
      </c>
      <c r="C75" s="20" t="s">
        <v>63</v>
      </c>
      <c r="D75" s="20"/>
      <c r="E75" s="33">
        <v>57</v>
      </c>
      <c r="F75" s="79">
        <v>211</v>
      </c>
      <c r="G75" s="82">
        <v>339</v>
      </c>
      <c r="H75" s="79">
        <v>45</v>
      </c>
      <c r="I75" s="71">
        <v>92</v>
      </c>
      <c r="J75" s="71">
        <v>3</v>
      </c>
      <c r="K75" s="71">
        <v>9</v>
      </c>
      <c r="L75" s="71">
        <f t="shared" si="1"/>
        <v>48</v>
      </c>
      <c r="M75" s="82">
        <f t="shared" si="1"/>
        <v>101</v>
      </c>
      <c r="N75" s="79">
        <v>76</v>
      </c>
      <c r="O75" s="71">
        <v>0</v>
      </c>
      <c r="P75" s="71">
        <v>81</v>
      </c>
      <c r="Q75" s="82">
        <v>158</v>
      </c>
      <c r="R75" s="79">
        <f>48+158+1283-321-71</f>
        <v>1097</v>
      </c>
      <c r="S75" s="82">
        <f>101+158+1529-321-71</f>
        <v>1396</v>
      </c>
      <c r="T75" s="79">
        <v>17</v>
      </c>
      <c r="U75" s="71">
        <v>18</v>
      </c>
      <c r="V75" s="71">
        <v>46</v>
      </c>
      <c r="W75" s="71">
        <v>46</v>
      </c>
      <c r="X75" s="71">
        <v>55</v>
      </c>
      <c r="Y75" s="88">
        <v>56</v>
      </c>
    </row>
    <row r="76" spans="2:25" ht="15" customHeight="1">
      <c r="B76" s="97" t="s">
        <v>116</v>
      </c>
      <c r="C76" s="20"/>
      <c r="D76" s="20"/>
      <c r="E76" s="107">
        <v>58</v>
      </c>
      <c r="F76" s="79">
        <v>164</v>
      </c>
      <c r="G76" s="82">
        <v>299</v>
      </c>
      <c r="H76" s="79">
        <v>44</v>
      </c>
      <c r="I76" s="71">
        <v>95</v>
      </c>
      <c r="J76" s="71">
        <v>1</v>
      </c>
      <c r="K76" s="71">
        <v>6</v>
      </c>
      <c r="L76" s="71">
        <f t="shared" si="1"/>
        <v>45</v>
      </c>
      <c r="M76" s="82">
        <f t="shared" si="1"/>
        <v>101</v>
      </c>
      <c r="N76" s="79">
        <v>13</v>
      </c>
      <c r="O76" s="71">
        <v>0</v>
      </c>
      <c r="P76" s="71">
        <v>39</v>
      </c>
      <c r="Q76" s="82">
        <v>53</v>
      </c>
      <c r="R76" s="79">
        <f>45+53+603-151-23</f>
        <v>527</v>
      </c>
      <c r="S76" s="82">
        <f>101+53+822-151-23</f>
        <v>802</v>
      </c>
      <c r="T76" s="79">
        <v>9</v>
      </c>
      <c r="U76" s="71">
        <v>9</v>
      </c>
      <c r="V76" s="71">
        <v>30</v>
      </c>
      <c r="W76" s="71">
        <v>30</v>
      </c>
      <c r="X76" s="71">
        <v>36</v>
      </c>
      <c r="Y76" s="88">
        <v>36</v>
      </c>
    </row>
    <row r="77" spans="2:25" ht="15" customHeight="1">
      <c r="B77" s="97" t="s">
        <v>117</v>
      </c>
      <c r="C77" s="20"/>
      <c r="D77" s="20"/>
      <c r="E77" s="33">
        <v>59</v>
      </c>
      <c r="F77" s="79">
        <v>607</v>
      </c>
      <c r="G77" s="82">
        <v>1203</v>
      </c>
      <c r="H77" s="79">
        <v>227</v>
      </c>
      <c r="I77" s="71">
        <v>511</v>
      </c>
      <c r="J77" s="71">
        <v>12</v>
      </c>
      <c r="K77" s="71">
        <v>40</v>
      </c>
      <c r="L77" s="71">
        <f t="shared" si="1"/>
        <v>239</v>
      </c>
      <c r="M77" s="82">
        <f t="shared" si="1"/>
        <v>551</v>
      </c>
      <c r="N77" s="79">
        <v>62</v>
      </c>
      <c r="O77" s="71">
        <v>1</v>
      </c>
      <c r="P77" s="71">
        <v>140</v>
      </c>
      <c r="Q77" s="82">
        <v>203</v>
      </c>
      <c r="R77" s="79">
        <f>239+203+1795-407-63</f>
        <v>1767</v>
      </c>
      <c r="S77" s="82">
        <f>551+203+2521-407-63</f>
        <v>2805</v>
      </c>
      <c r="T77" s="79">
        <v>18</v>
      </c>
      <c r="U77" s="71">
        <v>18</v>
      </c>
      <c r="V77" s="71">
        <v>80</v>
      </c>
      <c r="W77" s="71">
        <v>80</v>
      </c>
      <c r="X77" s="71">
        <v>89</v>
      </c>
      <c r="Y77" s="88">
        <v>89</v>
      </c>
    </row>
    <row r="78" spans="2:25" ht="15" customHeight="1">
      <c r="B78" s="97" t="s">
        <v>118</v>
      </c>
      <c r="C78" s="20"/>
      <c r="D78" s="20"/>
      <c r="E78" s="33">
        <v>60</v>
      </c>
      <c r="F78" s="79">
        <v>85</v>
      </c>
      <c r="G78" s="82">
        <v>142</v>
      </c>
      <c r="H78" s="79">
        <v>24</v>
      </c>
      <c r="I78" s="71">
        <v>62</v>
      </c>
      <c r="J78" s="71">
        <v>0</v>
      </c>
      <c r="K78" s="71">
        <v>0</v>
      </c>
      <c r="L78" s="71">
        <f t="shared" si="1"/>
        <v>24</v>
      </c>
      <c r="M78" s="82">
        <f t="shared" si="1"/>
        <v>62</v>
      </c>
      <c r="N78" s="79">
        <v>18</v>
      </c>
      <c r="O78" s="71">
        <v>0</v>
      </c>
      <c r="P78" s="71">
        <v>32</v>
      </c>
      <c r="Q78" s="82">
        <v>51</v>
      </c>
      <c r="R78" s="79">
        <f>24+51+524-142-39</f>
        <v>418</v>
      </c>
      <c r="S78" s="82">
        <f>62+51+639-142-39</f>
        <v>571</v>
      </c>
      <c r="T78" s="79">
        <v>7</v>
      </c>
      <c r="U78" s="71">
        <v>7</v>
      </c>
      <c r="V78" s="71">
        <v>23</v>
      </c>
      <c r="W78" s="71">
        <v>23</v>
      </c>
      <c r="X78" s="71">
        <v>27</v>
      </c>
      <c r="Y78" s="88">
        <v>27</v>
      </c>
    </row>
    <row r="79" spans="2:25" ht="15" customHeight="1">
      <c r="B79" s="97" t="s">
        <v>119</v>
      </c>
      <c r="C79" s="20"/>
      <c r="D79" s="20"/>
      <c r="E79" s="107">
        <v>61</v>
      </c>
      <c r="F79" s="79">
        <v>22</v>
      </c>
      <c r="G79" s="82">
        <v>40</v>
      </c>
      <c r="H79" s="79">
        <v>9</v>
      </c>
      <c r="I79" s="71">
        <v>14</v>
      </c>
      <c r="J79" s="71">
        <v>0</v>
      </c>
      <c r="K79" s="71">
        <v>0</v>
      </c>
      <c r="L79" s="71">
        <f t="shared" si="1"/>
        <v>9</v>
      </c>
      <c r="M79" s="82">
        <f t="shared" si="1"/>
        <v>14</v>
      </c>
      <c r="N79" s="79">
        <v>9</v>
      </c>
      <c r="O79" s="71">
        <v>0</v>
      </c>
      <c r="P79" s="71">
        <v>13</v>
      </c>
      <c r="Q79" s="82">
        <v>23</v>
      </c>
      <c r="R79" s="79">
        <f>9+23+120-29-3</f>
        <v>120</v>
      </c>
      <c r="S79" s="82">
        <f>14+23+162-29-3</f>
        <v>167</v>
      </c>
      <c r="T79" s="79">
        <v>2</v>
      </c>
      <c r="U79" s="71">
        <v>2</v>
      </c>
      <c r="V79" s="71">
        <v>7</v>
      </c>
      <c r="W79" s="71">
        <v>7</v>
      </c>
      <c r="X79" s="71">
        <v>8</v>
      </c>
      <c r="Y79" s="88">
        <v>8</v>
      </c>
    </row>
    <row r="80" spans="2:25" ht="15" customHeight="1">
      <c r="B80" s="97" t="s">
        <v>120</v>
      </c>
      <c r="C80" s="20" t="s">
        <v>63</v>
      </c>
      <c r="D80" s="20"/>
      <c r="E80" s="33">
        <v>62</v>
      </c>
      <c r="F80" s="79">
        <v>814</v>
      </c>
      <c r="G80" s="82">
        <v>1590</v>
      </c>
      <c r="H80" s="79">
        <v>305</v>
      </c>
      <c r="I80" s="71">
        <v>674</v>
      </c>
      <c r="J80" s="71">
        <v>8</v>
      </c>
      <c r="K80" s="71">
        <v>35</v>
      </c>
      <c r="L80" s="71">
        <f t="shared" si="1"/>
        <v>313</v>
      </c>
      <c r="M80" s="82">
        <f t="shared" si="1"/>
        <v>709</v>
      </c>
      <c r="N80" s="79">
        <v>95</v>
      </c>
      <c r="O80" s="71">
        <v>2</v>
      </c>
      <c r="P80" s="71">
        <v>262</v>
      </c>
      <c r="Q80" s="82">
        <v>360</v>
      </c>
      <c r="R80" s="79">
        <f>313+360+2692-617-43</f>
        <v>2705</v>
      </c>
      <c r="S80" s="82">
        <f>709+360+3475-617-43</f>
        <v>3884</v>
      </c>
      <c r="T80" s="79">
        <v>39</v>
      </c>
      <c r="U80" s="71">
        <v>41</v>
      </c>
      <c r="V80" s="71">
        <v>182</v>
      </c>
      <c r="W80" s="71">
        <v>182</v>
      </c>
      <c r="X80" s="71">
        <v>203</v>
      </c>
      <c r="Y80" s="88">
        <v>204</v>
      </c>
    </row>
    <row r="81" spans="2:25" ht="15" customHeight="1">
      <c r="B81" s="97" t="s">
        <v>121</v>
      </c>
      <c r="C81" s="20">
        <v>1</v>
      </c>
      <c r="D81" s="20" t="s">
        <v>47</v>
      </c>
      <c r="E81" s="33">
        <v>63</v>
      </c>
      <c r="F81" s="79">
        <v>6</v>
      </c>
      <c r="G81" s="82">
        <v>13</v>
      </c>
      <c r="H81" s="79">
        <v>4</v>
      </c>
      <c r="I81" s="71">
        <v>7</v>
      </c>
      <c r="J81" s="71">
        <v>0</v>
      </c>
      <c r="K81" s="71">
        <v>0</v>
      </c>
      <c r="L81" s="71">
        <f t="shared" si="1"/>
        <v>4</v>
      </c>
      <c r="M81" s="82">
        <f t="shared" si="1"/>
        <v>7</v>
      </c>
      <c r="N81" s="79">
        <v>0</v>
      </c>
      <c r="O81" s="71">
        <v>0</v>
      </c>
      <c r="P81" s="71">
        <v>6</v>
      </c>
      <c r="Q81" s="82">
        <v>6</v>
      </c>
      <c r="R81" s="79">
        <f>4+6+58-9-1</f>
        <v>58</v>
      </c>
      <c r="S81" s="82">
        <f>7+6+93-9-1</f>
        <v>96</v>
      </c>
      <c r="T81" s="79">
        <v>0</v>
      </c>
      <c r="U81" s="71">
        <v>0</v>
      </c>
      <c r="V81" s="71">
        <v>2</v>
      </c>
      <c r="W81" s="71">
        <v>2</v>
      </c>
      <c r="X81" s="71">
        <v>2</v>
      </c>
      <c r="Y81" s="88">
        <v>2</v>
      </c>
    </row>
    <row r="82" spans="2:25" ht="15" customHeight="1">
      <c r="B82" s="97" t="s">
        <v>122</v>
      </c>
      <c r="C82" s="20" t="s">
        <v>63</v>
      </c>
      <c r="D82" s="20"/>
      <c r="E82" s="107">
        <v>64</v>
      </c>
      <c r="F82" s="79">
        <v>15682</v>
      </c>
      <c r="G82" s="82">
        <v>31475</v>
      </c>
      <c r="H82" s="79">
        <v>4995</v>
      </c>
      <c r="I82" s="71">
        <v>12507</v>
      </c>
      <c r="J82" s="71">
        <v>179</v>
      </c>
      <c r="K82" s="71">
        <v>735</v>
      </c>
      <c r="L82" s="71">
        <f t="shared" si="1"/>
        <v>5174</v>
      </c>
      <c r="M82" s="82">
        <f t="shared" si="1"/>
        <v>13242</v>
      </c>
      <c r="N82" s="79">
        <v>966</v>
      </c>
      <c r="O82" s="71">
        <v>19</v>
      </c>
      <c r="P82" s="71">
        <v>2471</v>
      </c>
      <c r="Q82" s="82">
        <v>3457</v>
      </c>
      <c r="R82" s="79">
        <f>5174+3457+19422-3568-145</f>
        <v>24340</v>
      </c>
      <c r="S82" s="82">
        <f>13242+3457+31122-3568-145</f>
        <v>44108</v>
      </c>
      <c r="T82" s="79">
        <v>737</v>
      </c>
      <c r="U82" s="71">
        <v>743</v>
      </c>
      <c r="V82" s="71">
        <v>4026</v>
      </c>
      <c r="W82" s="71">
        <v>4027</v>
      </c>
      <c r="X82" s="71">
        <v>4323</v>
      </c>
      <c r="Y82" s="88">
        <v>4329</v>
      </c>
    </row>
    <row r="83" spans="2:25" ht="15" customHeight="1">
      <c r="B83" s="97" t="s">
        <v>123</v>
      </c>
      <c r="C83" s="20">
        <v>1</v>
      </c>
      <c r="D83" s="20" t="s">
        <v>52</v>
      </c>
      <c r="E83" s="33">
        <v>65</v>
      </c>
      <c r="F83" s="79">
        <v>3</v>
      </c>
      <c r="G83" s="82">
        <v>8</v>
      </c>
      <c r="H83" s="79">
        <v>0</v>
      </c>
      <c r="I83" s="71">
        <v>1</v>
      </c>
      <c r="J83" s="71">
        <v>0</v>
      </c>
      <c r="K83" s="71">
        <v>1</v>
      </c>
      <c r="L83" s="71">
        <f aca="true" t="shared" si="2" ref="L83:M114">SUM(H83,J83)</f>
        <v>0</v>
      </c>
      <c r="M83" s="82">
        <f t="shared" si="2"/>
        <v>2</v>
      </c>
      <c r="N83" s="79">
        <v>0</v>
      </c>
      <c r="O83" s="71">
        <v>0</v>
      </c>
      <c r="P83" s="71">
        <v>9</v>
      </c>
      <c r="Q83" s="82">
        <v>10</v>
      </c>
      <c r="R83" s="79">
        <f>10+36-12</f>
        <v>34</v>
      </c>
      <c r="S83" s="82">
        <f>2+10+46-12</f>
        <v>46</v>
      </c>
      <c r="T83" s="79">
        <v>0</v>
      </c>
      <c r="U83" s="71">
        <v>0</v>
      </c>
      <c r="V83" s="71">
        <v>0</v>
      </c>
      <c r="W83" s="71">
        <v>0</v>
      </c>
      <c r="X83" s="71">
        <v>0</v>
      </c>
      <c r="Y83" s="88">
        <v>0</v>
      </c>
    </row>
    <row r="84" spans="2:25" ht="15" customHeight="1">
      <c r="B84" s="97" t="s">
        <v>124</v>
      </c>
      <c r="C84" s="20">
        <v>1</v>
      </c>
      <c r="D84" s="20" t="s">
        <v>52</v>
      </c>
      <c r="E84" s="33">
        <v>66</v>
      </c>
      <c r="F84" s="79">
        <v>12</v>
      </c>
      <c r="G84" s="82">
        <v>18</v>
      </c>
      <c r="H84" s="79">
        <v>5</v>
      </c>
      <c r="I84" s="71">
        <v>9</v>
      </c>
      <c r="J84" s="71">
        <v>0</v>
      </c>
      <c r="K84" s="71">
        <v>2</v>
      </c>
      <c r="L84" s="71">
        <f t="shared" si="2"/>
        <v>5</v>
      </c>
      <c r="M84" s="82">
        <f t="shared" si="2"/>
        <v>11</v>
      </c>
      <c r="N84" s="79">
        <v>3</v>
      </c>
      <c r="O84" s="71">
        <v>0</v>
      </c>
      <c r="P84" s="71">
        <v>17</v>
      </c>
      <c r="Q84" s="82">
        <v>21</v>
      </c>
      <c r="R84" s="79">
        <f>5+21+88-20-9</f>
        <v>85</v>
      </c>
      <c r="S84" s="82">
        <f>11+21+126-20-9</f>
        <v>129</v>
      </c>
      <c r="T84" s="79">
        <v>0</v>
      </c>
      <c r="U84" s="71">
        <v>0</v>
      </c>
      <c r="V84" s="71">
        <v>3</v>
      </c>
      <c r="W84" s="71">
        <v>3</v>
      </c>
      <c r="X84" s="71">
        <v>4</v>
      </c>
      <c r="Y84" s="88">
        <v>4</v>
      </c>
    </row>
    <row r="85" spans="2:25" ht="15" customHeight="1">
      <c r="B85" s="97" t="s">
        <v>125</v>
      </c>
      <c r="C85" s="20"/>
      <c r="D85" s="20"/>
      <c r="E85" s="107">
        <v>67</v>
      </c>
      <c r="F85" s="79">
        <v>18</v>
      </c>
      <c r="G85" s="82">
        <v>27</v>
      </c>
      <c r="H85" s="79">
        <v>4</v>
      </c>
      <c r="I85" s="71">
        <v>8</v>
      </c>
      <c r="J85" s="71">
        <v>0</v>
      </c>
      <c r="K85" s="71">
        <v>1</v>
      </c>
      <c r="L85" s="71">
        <f t="shared" si="2"/>
        <v>4</v>
      </c>
      <c r="M85" s="82">
        <f t="shared" si="2"/>
        <v>9</v>
      </c>
      <c r="N85" s="79">
        <v>3</v>
      </c>
      <c r="O85" s="71">
        <v>0</v>
      </c>
      <c r="P85" s="71">
        <v>21</v>
      </c>
      <c r="Q85" s="82">
        <v>25</v>
      </c>
      <c r="R85" s="79">
        <f>4+25+113-25-4</f>
        <v>113</v>
      </c>
      <c r="S85" s="82">
        <f>9+25+175-25-4</f>
        <v>180</v>
      </c>
      <c r="T85" s="79">
        <v>1</v>
      </c>
      <c r="U85" s="71">
        <v>1</v>
      </c>
      <c r="V85" s="71">
        <v>4</v>
      </c>
      <c r="W85" s="71">
        <v>4</v>
      </c>
      <c r="X85" s="71">
        <v>4</v>
      </c>
      <c r="Y85" s="88">
        <v>4</v>
      </c>
    </row>
    <row r="86" spans="2:25" ht="15" customHeight="1">
      <c r="B86" s="97" t="s">
        <v>126</v>
      </c>
      <c r="C86" s="20">
        <v>1</v>
      </c>
      <c r="D86" s="20" t="s">
        <v>52</v>
      </c>
      <c r="E86" s="33">
        <v>68</v>
      </c>
      <c r="F86" s="79">
        <v>12</v>
      </c>
      <c r="G86" s="82">
        <v>16</v>
      </c>
      <c r="H86" s="79">
        <v>1</v>
      </c>
      <c r="I86" s="71">
        <v>3</v>
      </c>
      <c r="J86" s="71">
        <v>0</v>
      </c>
      <c r="K86" s="71">
        <v>0</v>
      </c>
      <c r="L86" s="71">
        <f t="shared" si="2"/>
        <v>1</v>
      </c>
      <c r="M86" s="82">
        <f t="shared" si="2"/>
        <v>3</v>
      </c>
      <c r="N86" s="79">
        <v>6</v>
      </c>
      <c r="O86" s="71">
        <v>0</v>
      </c>
      <c r="P86" s="71">
        <v>4</v>
      </c>
      <c r="Q86" s="82">
        <v>10</v>
      </c>
      <c r="R86" s="79">
        <f>1+10+125-28-9</f>
        <v>99</v>
      </c>
      <c r="S86" s="82">
        <f>3+10+154-28-9</f>
        <v>130</v>
      </c>
      <c r="T86" s="79">
        <v>1</v>
      </c>
      <c r="U86" s="71">
        <v>1</v>
      </c>
      <c r="V86" s="71">
        <v>6</v>
      </c>
      <c r="W86" s="71">
        <v>6</v>
      </c>
      <c r="X86" s="71">
        <v>6</v>
      </c>
      <c r="Y86" s="88">
        <v>6</v>
      </c>
    </row>
    <row r="87" spans="2:25" ht="15" customHeight="1">
      <c r="B87" s="97" t="s">
        <v>127</v>
      </c>
      <c r="C87" s="20"/>
      <c r="D87" s="20"/>
      <c r="E87" s="33">
        <v>69</v>
      </c>
      <c r="F87" s="79">
        <v>562</v>
      </c>
      <c r="G87" s="82">
        <v>1086</v>
      </c>
      <c r="H87" s="79">
        <v>164</v>
      </c>
      <c r="I87" s="71">
        <v>377</v>
      </c>
      <c r="J87" s="71">
        <v>10</v>
      </c>
      <c r="K87" s="71">
        <v>39</v>
      </c>
      <c r="L87" s="71">
        <f t="shared" si="2"/>
        <v>174</v>
      </c>
      <c r="M87" s="82">
        <f t="shared" si="2"/>
        <v>416</v>
      </c>
      <c r="N87" s="79">
        <v>28</v>
      </c>
      <c r="O87" s="71">
        <v>0</v>
      </c>
      <c r="P87" s="71">
        <v>147</v>
      </c>
      <c r="Q87" s="82">
        <v>176</v>
      </c>
      <c r="R87" s="79">
        <f>174+176+1673-413-64</f>
        <v>1546</v>
      </c>
      <c r="S87" s="82">
        <f>174+176+2342-413-64</f>
        <v>2215</v>
      </c>
      <c r="T87" s="79">
        <v>20</v>
      </c>
      <c r="U87" s="71">
        <v>20</v>
      </c>
      <c r="V87" s="71">
        <v>95</v>
      </c>
      <c r="W87" s="71">
        <v>95</v>
      </c>
      <c r="X87" s="71">
        <v>104</v>
      </c>
      <c r="Y87" s="88">
        <v>104</v>
      </c>
    </row>
    <row r="88" spans="2:25" ht="15" customHeight="1">
      <c r="B88" s="97" t="s">
        <v>128</v>
      </c>
      <c r="C88" s="20">
        <v>1</v>
      </c>
      <c r="D88" s="20" t="s">
        <v>75</v>
      </c>
      <c r="E88" s="107">
        <v>70</v>
      </c>
      <c r="F88" s="79">
        <v>13</v>
      </c>
      <c r="G88" s="82">
        <v>24</v>
      </c>
      <c r="H88" s="79">
        <v>5</v>
      </c>
      <c r="I88" s="71">
        <v>10</v>
      </c>
      <c r="J88" s="71">
        <v>0</v>
      </c>
      <c r="K88" s="71">
        <v>0</v>
      </c>
      <c r="L88" s="71">
        <f t="shared" si="2"/>
        <v>5</v>
      </c>
      <c r="M88" s="82">
        <f t="shared" si="2"/>
        <v>10</v>
      </c>
      <c r="N88" s="79">
        <v>3</v>
      </c>
      <c r="O88" s="71">
        <v>0</v>
      </c>
      <c r="P88" s="71">
        <v>2</v>
      </c>
      <c r="Q88" s="82">
        <v>6</v>
      </c>
      <c r="R88" s="79">
        <f>5+6+56-11-6</f>
        <v>50</v>
      </c>
      <c r="S88" s="82">
        <f>10+6+78-11-6</f>
        <v>77</v>
      </c>
      <c r="T88" s="79">
        <v>0</v>
      </c>
      <c r="U88" s="71">
        <v>0</v>
      </c>
      <c r="V88" s="71">
        <v>5</v>
      </c>
      <c r="W88" s="71">
        <v>5</v>
      </c>
      <c r="X88" s="71">
        <v>5</v>
      </c>
      <c r="Y88" s="88">
        <v>5</v>
      </c>
    </row>
    <row r="89" spans="2:25" ht="15" customHeight="1">
      <c r="B89" s="97" t="s">
        <v>129</v>
      </c>
      <c r="C89" s="20">
        <v>1</v>
      </c>
      <c r="D89" s="20" t="s">
        <v>47</v>
      </c>
      <c r="E89" s="33">
        <v>71</v>
      </c>
      <c r="F89" s="79">
        <v>34</v>
      </c>
      <c r="G89" s="82">
        <v>67</v>
      </c>
      <c r="H89" s="79">
        <v>11</v>
      </c>
      <c r="I89" s="71">
        <v>21</v>
      </c>
      <c r="J89" s="71">
        <v>0</v>
      </c>
      <c r="K89" s="71">
        <v>0</v>
      </c>
      <c r="L89" s="71">
        <f t="shared" si="2"/>
        <v>11</v>
      </c>
      <c r="M89" s="82">
        <f t="shared" si="2"/>
        <v>21</v>
      </c>
      <c r="N89" s="79">
        <v>8</v>
      </c>
      <c r="O89" s="71">
        <v>2</v>
      </c>
      <c r="P89" s="71">
        <v>21</v>
      </c>
      <c r="Q89" s="82">
        <v>32</v>
      </c>
      <c r="R89" s="79">
        <f>11+32+193-47-4</f>
        <v>185</v>
      </c>
      <c r="S89" s="82">
        <f>21+32+307-47-4</f>
        <v>309</v>
      </c>
      <c r="T89" s="79">
        <v>2</v>
      </c>
      <c r="U89" s="71">
        <v>2</v>
      </c>
      <c r="V89" s="71">
        <v>62</v>
      </c>
      <c r="W89" s="71">
        <v>62</v>
      </c>
      <c r="X89" s="71">
        <v>64</v>
      </c>
      <c r="Y89" s="88">
        <v>64</v>
      </c>
    </row>
    <row r="90" spans="2:25" ht="15" customHeight="1">
      <c r="B90" s="97" t="s">
        <v>130</v>
      </c>
      <c r="C90" s="20"/>
      <c r="D90" s="20"/>
      <c r="E90" s="33">
        <v>72</v>
      </c>
      <c r="F90" s="79">
        <v>80</v>
      </c>
      <c r="G90" s="82">
        <v>156</v>
      </c>
      <c r="H90" s="79">
        <v>23</v>
      </c>
      <c r="I90" s="71">
        <v>47</v>
      </c>
      <c r="J90" s="71">
        <v>2</v>
      </c>
      <c r="K90" s="71">
        <v>10</v>
      </c>
      <c r="L90" s="71">
        <f t="shared" si="2"/>
        <v>25</v>
      </c>
      <c r="M90" s="82">
        <f t="shared" si="2"/>
        <v>57</v>
      </c>
      <c r="N90" s="79">
        <v>6</v>
      </c>
      <c r="O90" s="71">
        <v>0</v>
      </c>
      <c r="P90" s="71">
        <v>45</v>
      </c>
      <c r="Q90" s="82">
        <v>51</v>
      </c>
      <c r="R90" s="79">
        <f>25+51+303-64-10</f>
        <v>305</v>
      </c>
      <c r="S90" s="82">
        <f>57+51+439-64-10</f>
        <v>473</v>
      </c>
      <c r="T90" s="79">
        <v>2</v>
      </c>
      <c r="U90" s="71">
        <v>2</v>
      </c>
      <c r="V90" s="71">
        <v>14</v>
      </c>
      <c r="W90" s="71">
        <v>14</v>
      </c>
      <c r="X90" s="71">
        <v>15</v>
      </c>
      <c r="Y90" s="88">
        <v>15</v>
      </c>
    </row>
    <row r="91" spans="2:25" ht="15" customHeight="1">
      <c r="B91" s="97" t="s">
        <v>131</v>
      </c>
      <c r="C91" s="20">
        <v>1</v>
      </c>
      <c r="D91" s="20" t="s">
        <v>47</v>
      </c>
      <c r="E91" s="107">
        <v>73</v>
      </c>
      <c r="F91" s="79">
        <v>33</v>
      </c>
      <c r="G91" s="82">
        <v>77</v>
      </c>
      <c r="H91" s="79">
        <v>11</v>
      </c>
      <c r="I91" s="71">
        <v>20</v>
      </c>
      <c r="J91" s="71">
        <v>1</v>
      </c>
      <c r="K91" s="71">
        <v>6</v>
      </c>
      <c r="L91" s="71">
        <f t="shared" si="2"/>
        <v>12</v>
      </c>
      <c r="M91" s="82">
        <f t="shared" si="2"/>
        <v>26</v>
      </c>
      <c r="N91" s="79">
        <v>2</v>
      </c>
      <c r="O91" s="71">
        <v>0</v>
      </c>
      <c r="P91" s="71">
        <v>8</v>
      </c>
      <c r="Q91" s="82">
        <v>11</v>
      </c>
      <c r="R91" s="79">
        <f>12+11+109-21-4</f>
        <v>107</v>
      </c>
      <c r="S91" s="82">
        <f>26+11+167-21-4</f>
        <v>179</v>
      </c>
      <c r="T91" s="79">
        <v>1</v>
      </c>
      <c r="U91" s="71">
        <v>1</v>
      </c>
      <c r="V91" s="71">
        <v>4</v>
      </c>
      <c r="W91" s="71">
        <v>4</v>
      </c>
      <c r="X91" s="71">
        <v>5</v>
      </c>
      <c r="Y91" s="88">
        <v>5</v>
      </c>
    </row>
    <row r="92" spans="2:25" ht="15" customHeight="1">
      <c r="B92" s="97" t="s">
        <v>132</v>
      </c>
      <c r="C92" s="20">
        <v>1</v>
      </c>
      <c r="D92" s="20" t="s">
        <v>52</v>
      </c>
      <c r="E92" s="33">
        <v>74</v>
      </c>
      <c r="F92" s="79">
        <v>37</v>
      </c>
      <c r="G92" s="82">
        <v>52</v>
      </c>
      <c r="H92" s="79">
        <v>9</v>
      </c>
      <c r="I92" s="71">
        <v>16</v>
      </c>
      <c r="J92" s="71">
        <v>0</v>
      </c>
      <c r="K92" s="71">
        <v>4</v>
      </c>
      <c r="L92" s="71">
        <f t="shared" si="2"/>
        <v>9</v>
      </c>
      <c r="M92" s="82">
        <f t="shared" si="2"/>
        <v>20</v>
      </c>
      <c r="N92" s="79">
        <v>38</v>
      </c>
      <c r="O92" s="71">
        <v>1</v>
      </c>
      <c r="P92" s="71">
        <v>41</v>
      </c>
      <c r="Q92" s="82">
        <v>80</v>
      </c>
      <c r="R92" s="79">
        <f>9+80+280-87-16</f>
        <v>266</v>
      </c>
      <c r="S92" s="82">
        <f>20+80+328-87-16</f>
        <v>325</v>
      </c>
      <c r="T92" s="79">
        <v>1</v>
      </c>
      <c r="U92" s="71">
        <v>1</v>
      </c>
      <c r="V92" s="71">
        <v>6</v>
      </c>
      <c r="W92" s="71">
        <v>6</v>
      </c>
      <c r="X92" s="71">
        <v>7</v>
      </c>
      <c r="Y92" s="88">
        <v>7</v>
      </c>
    </row>
    <row r="93" spans="2:25" ht="15" customHeight="1">
      <c r="B93" s="97" t="s">
        <v>133</v>
      </c>
      <c r="C93" s="20">
        <v>1</v>
      </c>
      <c r="D93" s="20" t="s">
        <v>75</v>
      </c>
      <c r="E93" s="33">
        <v>75</v>
      </c>
      <c r="F93" s="79">
        <v>4</v>
      </c>
      <c r="G93" s="82">
        <v>5</v>
      </c>
      <c r="H93" s="79">
        <v>0</v>
      </c>
      <c r="I93" s="71">
        <v>0</v>
      </c>
      <c r="J93" s="71">
        <v>0</v>
      </c>
      <c r="K93" s="71">
        <v>0</v>
      </c>
      <c r="L93" s="71">
        <f t="shared" si="2"/>
        <v>0</v>
      </c>
      <c r="M93" s="82">
        <f t="shared" si="2"/>
        <v>0</v>
      </c>
      <c r="N93" s="79">
        <v>2</v>
      </c>
      <c r="O93" s="71">
        <v>0</v>
      </c>
      <c r="P93" s="71">
        <v>6</v>
      </c>
      <c r="Q93" s="82">
        <v>8</v>
      </c>
      <c r="R93" s="79">
        <f>8+24-6-1</f>
        <v>25</v>
      </c>
      <c r="S93" s="82">
        <f>8+34-6-1</f>
        <v>35</v>
      </c>
      <c r="T93" s="79">
        <v>0</v>
      </c>
      <c r="U93" s="71">
        <v>0</v>
      </c>
      <c r="V93" s="71">
        <v>0</v>
      </c>
      <c r="W93" s="71">
        <v>0</v>
      </c>
      <c r="X93" s="71">
        <v>0</v>
      </c>
      <c r="Y93" s="88">
        <v>0</v>
      </c>
    </row>
    <row r="94" spans="2:25" ht="15" customHeight="1">
      <c r="B94" s="97" t="s">
        <v>134</v>
      </c>
      <c r="C94" s="20"/>
      <c r="D94" s="20"/>
      <c r="E94" s="107">
        <v>76</v>
      </c>
      <c r="F94" s="79">
        <v>47</v>
      </c>
      <c r="G94" s="82">
        <v>68</v>
      </c>
      <c r="H94" s="79">
        <v>10</v>
      </c>
      <c r="I94" s="71">
        <v>18</v>
      </c>
      <c r="J94" s="71">
        <v>0</v>
      </c>
      <c r="K94" s="71">
        <v>0</v>
      </c>
      <c r="L94" s="71">
        <f t="shared" si="2"/>
        <v>10</v>
      </c>
      <c r="M94" s="82">
        <f t="shared" si="2"/>
        <v>18</v>
      </c>
      <c r="N94" s="79">
        <v>3</v>
      </c>
      <c r="O94" s="71">
        <v>0</v>
      </c>
      <c r="P94" s="71">
        <v>24</v>
      </c>
      <c r="Q94" s="82">
        <v>28</v>
      </c>
      <c r="R94" s="79">
        <f>10+28+255-70-10</f>
        <v>213</v>
      </c>
      <c r="S94" s="82">
        <f>18+28+309-70-10</f>
        <v>275</v>
      </c>
      <c r="T94" s="79">
        <v>3</v>
      </c>
      <c r="U94" s="71">
        <v>3</v>
      </c>
      <c r="V94" s="71">
        <v>15</v>
      </c>
      <c r="W94" s="71">
        <v>15</v>
      </c>
      <c r="X94" s="71">
        <v>18</v>
      </c>
      <c r="Y94" s="88">
        <v>18</v>
      </c>
    </row>
    <row r="95" spans="2:25" ht="15" customHeight="1">
      <c r="B95" s="97" t="s">
        <v>135</v>
      </c>
      <c r="C95" s="20" t="s">
        <v>63</v>
      </c>
      <c r="D95" s="20"/>
      <c r="E95" s="33">
        <v>77</v>
      </c>
      <c r="F95" s="79">
        <v>1121</v>
      </c>
      <c r="G95" s="82">
        <v>2223</v>
      </c>
      <c r="H95" s="79">
        <v>356</v>
      </c>
      <c r="I95" s="71">
        <v>818</v>
      </c>
      <c r="J95" s="71">
        <v>15</v>
      </c>
      <c r="K95" s="71">
        <v>62</v>
      </c>
      <c r="L95" s="71">
        <f t="shared" si="2"/>
        <v>371</v>
      </c>
      <c r="M95" s="82">
        <f t="shared" si="2"/>
        <v>880</v>
      </c>
      <c r="N95" s="79">
        <v>108</v>
      </c>
      <c r="O95" s="71">
        <v>2</v>
      </c>
      <c r="P95" s="71">
        <v>345</v>
      </c>
      <c r="Q95" s="82">
        <v>455</v>
      </c>
      <c r="R95" s="79">
        <f>371+455+3489-849-115</f>
        <v>3351</v>
      </c>
      <c r="S95" s="82">
        <f>880+455+4864-849-115</f>
        <v>5235</v>
      </c>
      <c r="T95" s="79">
        <v>50</v>
      </c>
      <c r="U95" s="71">
        <v>50</v>
      </c>
      <c r="V95" s="71">
        <v>235</v>
      </c>
      <c r="W95" s="71">
        <v>235</v>
      </c>
      <c r="X95" s="71">
        <v>261</v>
      </c>
      <c r="Y95" s="88">
        <v>261</v>
      </c>
    </row>
    <row r="96" spans="2:25" ht="15" customHeight="1">
      <c r="B96" s="97" t="s">
        <v>136</v>
      </c>
      <c r="C96" s="20"/>
      <c r="D96" s="20"/>
      <c r="E96" s="33">
        <v>78</v>
      </c>
      <c r="F96" s="79">
        <v>135</v>
      </c>
      <c r="G96" s="82">
        <v>274</v>
      </c>
      <c r="H96" s="79">
        <v>25</v>
      </c>
      <c r="I96" s="71">
        <v>56</v>
      </c>
      <c r="J96" s="71">
        <v>2</v>
      </c>
      <c r="K96" s="71">
        <v>7</v>
      </c>
      <c r="L96" s="71">
        <f t="shared" si="2"/>
        <v>27</v>
      </c>
      <c r="M96" s="82">
        <f t="shared" si="2"/>
        <v>63</v>
      </c>
      <c r="N96" s="79">
        <v>2</v>
      </c>
      <c r="O96" s="71">
        <v>0</v>
      </c>
      <c r="P96" s="71">
        <v>29</v>
      </c>
      <c r="Q96" s="82">
        <v>32</v>
      </c>
      <c r="R96" s="79">
        <f>27+32+513-109-19</f>
        <v>444</v>
      </c>
      <c r="S96" s="82">
        <f>63+32+716-109-19</f>
        <v>683</v>
      </c>
      <c r="T96" s="79">
        <v>5</v>
      </c>
      <c r="U96" s="71">
        <v>6</v>
      </c>
      <c r="V96" s="71">
        <v>26</v>
      </c>
      <c r="W96" s="71">
        <v>26</v>
      </c>
      <c r="X96" s="71">
        <v>28</v>
      </c>
      <c r="Y96" s="88">
        <v>28</v>
      </c>
    </row>
    <row r="97" spans="2:25" ht="15" customHeight="1">
      <c r="B97" s="97" t="s">
        <v>137</v>
      </c>
      <c r="C97" s="20">
        <v>1</v>
      </c>
      <c r="D97" s="20" t="s">
        <v>47</v>
      </c>
      <c r="E97" s="107">
        <v>79</v>
      </c>
      <c r="F97" s="79">
        <v>20</v>
      </c>
      <c r="G97" s="82">
        <v>32</v>
      </c>
      <c r="H97" s="79">
        <v>2</v>
      </c>
      <c r="I97" s="71">
        <v>5</v>
      </c>
      <c r="J97" s="71">
        <v>0</v>
      </c>
      <c r="K97" s="71">
        <v>0</v>
      </c>
      <c r="L97" s="71">
        <f t="shared" si="2"/>
        <v>2</v>
      </c>
      <c r="M97" s="82">
        <f t="shared" si="2"/>
        <v>5</v>
      </c>
      <c r="N97" s="79">
        <v>1</v>
      </c>
      <c r="O97" s="71">
        <v>0</v>
      </c>
      <c r="P97" s="71">
        <v>11</v>
      </c>
      <c r="Q97" s="82">
        <v>12</v>
      </c>
      <c r="R97" s="79">
        <f>2+12+205-64-7</f>
        <v>148</v>
      </c>
      <c r="S97" s="82">
        <f>5+12+239-64-7</f>
        <v>185</v>
      </c>
      <c r="T97" s="79">
        <v>1</v>
      </c>
      <c r="U97" s="71">
        <v>1</v>
      </c>
      <c r="V97" s="71">
        <v>3</v>
      </c>
      <c r="W97" s="71">
        <v>3</v>
      </c>
      <c r="X97" s="71">
        <v>3</v>
      </c>
      <c r="Y97" s="88">
        <v>3</v>
      </c>
    </row>
    <row r="98" spans="2:25" ht="15" customHeight="1">
      <c r="B98" s="97" t="s">
        <v>138</v>
      </c>
      <c r="C98" s="20" t="s">
        <v>63</v>
      </c>
      <c r="D98" s="20"/>
      <c r="E98" s="33">
        <v>80</v>
      </c>
      <c r="F98" s="79">
        <v>2495</v>
      </c>
      <c r="G98" s="82">
        <v>5418</v>
      </c>
      <c r="H98" s="79">
        <v>827</v>
      </c>
      <c r="I98" s="71">
        <v>2056</v>
      </c>
      <c r="J98" s="71">
        <v>46</v>
      </c>
      <c r="K98" s="71">
        <v>198</v>
      </c>
      <c r="L98" s="71">
        <f t="shared" si="2"/>
        <v>873</v>
      </c>
      <c r="M98" s="82">
        <f t="shared" si="2"/>
        <v>2254</v>
      </c>
      <c r="N98" s="79">
        <v>174</v>
      </c>
      <c r="O98" s="71">
        <v>3</v>
      </c>
      <c r="P98" s="71">
        <v>571</v>
      </c>
      <c r="Q98" s="82">
        <v>749</v>
      </c>
      <c r="R98" s="79">
        <f>873+749+5338-1155-181</f>
        <v>5624</v>
      </c>
      <c r="S98" s="82">
        <f>2254+749+8204-1155-181</f>
        <v>9871</v>
      </c>
      <c r="T98" s="79">
        <v>95</v>
      </c>
      <c r="U98" s="71">
        <v>100</v>
      </c>
      <c r="V98" s="71">
        <v>469</v>
      </c>
      <c r="W98" s="71">
        <v>471</v>
      </c>
      <c r="X98" s="71">
        <v>519</v>
      </c>
      <c r="Y98" s="88">
        <v>524</v>
      </c>
    </row>
    <row r="99" spans="2:25" ht="15" customHeight="1">
      <c r="B99" s="97" t="s">
        <v>139</v>
      </c>
      <c r="C99" s="20">
        <v>1</v>
      </c>
      <c r="D99" s="20" t="s">
        <v>52</v>
      </c>
      <c r="E99" s="33">
        <v>81</v>
      </c>
      <c r="F99" s="79">
        <v>24</v>
      </c>
      <c r="G99" s="82">
        <v>48</v>
      </c>
      <c r="H99" s="79">
        <v>8</v>
      </c>
      <c r="I99" s="71">
        <v>14</v>
      </c>
      <c r="J99" s="71">
        <v>2</v>
      </c>
      <c r="K99" s="71">
        <v>5</v>
      </c>
      <c r="L99" s="71">
        <f t="shared" si="2"/>
        <v>10</v>
      </c>
      <c r="M99" s="82">
        <f t="shared" si="2"/>
        <v>19</v>
      </c>
      <c r="N99" s="79">
        <v>0</v>
      </c>
      <c r="O99" s="71">
        <v>0</v>
      </c>
      <c r="P99" s="71">
        <v>7</v>
      </c>
      <c r="Q99" s="82">
        <v>7</v>
      </c>
      <c r="R99" s="79">
        <f>10+7+139-31-3</f>
        <v>122</v>
      </c>
      <c r="S99" s="82">
        <f>19+7+165-31-3</f>
        <v>157</v>
      </c>
      <c r="T99" s="79">
        <v>0</v>
      </c>
      <c r="U99" s="71">
        <v>0</v>
      </c>
      <c r="V99" s="71">
        <v>2</v>
      </c>
      <c r="W99" s="71">
        <v>2</v>
      </c>
      <c r="X99" s="71">
        <v>2</v>
      </c>
      <c r="Y99" s="88">
        <v>2</v>
      </c>
    </row>
    <row r="100" spans="2:25" ht="15" customHeight="1">
      <c r="B100" s="97" t="s">
        <v>140</v>
      </c>
      <c r="C100" s="20">
        <v>1</v>
      </c>
      <c r="D100" s="20" t="s">
        <v>75</v>
      </c>
      <c r="E100" s="107">
        <v>82</v>
      </c>
      <c r="F100" s="79">
        <v>17</v>
      </c>
      <c r="G100" s="82">
        <v>25</v>
      </c>
      <c r="H100" s="79">
        <v>5</v>
      </c>
      <c r="I100" s="71">
        <v>11</v>
      </c>
      <c r="J100" s="71">
        <v>0</v>
      </c>
      <c r="K100" s="71">
        <v>0</v>
      </c>
      <c r="L100" s="71">
        <f t="shared" si="2"/>
        <v>5</v>
      </c>
      <c r="M100" s="82">
        <f t="shared" si="2"/>
        <v>11</v>
      </c>
      <c r="N100" s="79">
        <v>0</v>
      </c>
      <c r="O100" s="71">
        <v>0</v>
      </c>
      <c r="P100" s="71">
        <v>4</v>
      </c>
      <c r="Q100" s="82">
        <v>4</v>
      </c>
      <c r="R100" s="79">
        <f>5+4+66-18-4</f>
        <v>53</v>
      </c>
      <c r="S100" s="82">
        <f>11+4+79-18-4</f>
        <v>72</v>
      </c>
      <c r="T100" s="79">
        <v>2</v>
      </c>
      <c r="U100" s="71">
        <v>2</v>
      </c>
      <c r="V100" s="71">
        <v>4</v>
      </c>
      <c r="W100" s="71">
        <v>4</v>
      </c>
      <c r="X100" s="71">
        <v>4</v>
      </c>
      <c r="Y100" s="88">
        <v>4</v>
      </c>
    </row>
    <row r="101" spans="2:25" ht="15" customHeight="1">
      <c r="B101" s="97" t="s">
        <v>141</v>
      </c>
      <c r="C101" s="20"/>
      <c r="D101" s="20"/>
      <c r="E101" s="33">
        <v>83</v>
      </c>
      <c r="F101" s="79">
        <v>1064</v>
      </c>
      <c r="G101" s="82">
        <v>1902</v>
      </c>
      <c r="H101" s="79">
        <v>324</v>
      </c>
      <c r="I101" s="71">
        <v>717</v>
      </c>
      <c r="J101" s="71">
        <v>11</v>
      </c>
      <c r="K101" s="71">
        <v>47</v>
      </c>
      <c r="L101" s="71">
        <f t="shared" si="2"/>
        <v>335</v>
      </c>
      <c r="M101" s="82">
        <f t="shared" si="2"/>
        <v>764</v>
      </c>
      <c r="N101" s="79">
        <v>66</v>
      </c>
      <c r="O101" s="71">
        <v>2</v>
      </c>
      <c r="P101" s="71">
        <v>287</v>
      </c>
      <c r="Q101" s="82">
        <v>356</v>
      </c>
      <c r="R101" s="79">
        <f>335+356+3042-716-118</f>
        <v>2899</v>
      </c>
      <c r="S101" s="82">
        <f>764+356+4097-716-118</f>
        <v>4383</v>
      </c>
      <c r="T101" s="79">
        <v>66</v>
      </c>
      <c r="U101" s="71">
        <v>70</v>
      </c>
      <c r="V101" s="71">
        <v>264</v>
      </c>
      <c r="W101" s="71">
        <v>264</v>
      </c>
      <c r="X101" s="71">
        <v>298</v>
      </c>
      <c r="Y101" s="88">
        <v>302</v>
      </c>
    </row>
    <row r="102" spans="2:25" ht="15" customHeight="1">
      <c r="B102" s="97" t="s">
        <v>142</v>
      </c>
      <c r="C102" s="20" t="s">
        <v>63</v>
      </c>
      <c r="D102" s="20"/>
      <c r="E102" s="33">
        <v>84</v>
      </c>
      <c r="F102" s="79">
        <v>535</v>
      </c>
      <c r="G102" s="82">
        <v>964</v>
      </c>
      <c r="H102" s="79">
        <v>148</v>
      </c>
      <c r="I102" s="71">
        <v>333</v>
      </c>
      <c r="J102" s="71">
        <v>2</v>
      </c>
      <c r="K102" s="71">
        <v>8</v>
      </c>
      <c r="L102" s="71">
        <f t="shared" si="2"/>
        <v>150</v>
      </c>
      <c r="M102" s="82">
        <f t="shared" si="2"/>
        <v>341</v>
      </c>
      <c r="N102" s="79">
        <v>38</v>
      </c>
      <c r="O102" s="71">
        <v>1</v>
      </c>
      <c r="P102" s="71">
        <v>110</v>
      </c>
      <c r="Q102" s="82">
        <v>150</v>
      </c>
      <c r="R102" s="79">
        <f>150+150+1859-412-37</f>
        <v>1710</v>
      </c>
      <c r="S102" s="82">
        <f>341+150+2436-412-37</f>
        <v>2478</v>
      </c>
      <c r="T102" s="79">
        <v>23</v>
      </c>
      <c r="U102" s="71">
        <v>23</v>
      </c>
      <c r="V102" s="71">
        <v>100</v>
      </c>
      <c r="W102" s="71">
        <v>100</v>
      </c>
      <c r="X102" s="71">
        <v>113</v>
      </c>
      <c r="Y102" s="88">
        <v>113</v>
      </c>
    </row>
    <row r="103" spans="2:25" ht="15" customHeight="1">
      <c r="B103" s="97" t="s">
        <v>143</v>
      </c>
      <c r="C103" s="20"/>
      <c r="D103" s="20"/>
      <c r="E103" s="107">
        <v>85</v>
      </c>
      <c r="F103" s="79">
        <v>40</v>
      </c>
      <c r="G103" s="82">
        <v>66</v>
      </c>
      <c r="H103" s="79">
        <v>11</v>
      </c>
      <c r="I103" s="71">
        <v>22</v>
      </c>
      <c r="J103" s="71">
        <v>0</v>
      </c>
      <c r="K103" s="71">
        <v>0</v>
      </c>
      <c r="L103" s="71">
        <f t="shared" si="2"/>
        <v>11</v>
      </c>
      <c r="M103" s="82">
        <f t="shared" si="2"/>
        <v>22</v>
      </c>
      <c r="N103" s="79">
        <v>7</v>
      </c>
      <c r="O103" s="71">
        <v>2</v>
      </c>
      <c r="P103" s="71">
        <v>33</v>
      </c>
      <c r="Q103" s="82">
        <v>42</v>
      </c>
      <c r="R103" s="79">
        <f>11+42+218-45-5</f>
        <v>221</v>
      </c>
      <c r="S103" s="82">
        <f>22+42+294-45-5</f>
        <v>308</v>
      </c>
      <c r="T103" s="79">
        <v>2</v>
      </c>
      <c r="U103" s="71">
        <v>2</v>
      </c>
      <c r="V103" s="71">
        <v>14</v>
      </c>
      <c r="W103" s="71">
        <v>14</v>
      </c>
      <c r="X103" s="71">
        <v>16</v>
      </c>
      <c r="Y103" s="88">
        <v>16</v>
      </c>
    </row>
    <row r="104" spans="2:25" ht="15" customHeight="1">
      <c r="B104" s="97" t="s">
        <v>144</v>
      </c>
      <c r="C104" s="20"/>
      <c r="D104" s="20"/>
      <c r="E104" s="33">
        <v>86</v>
      </c>
      <c r="F104" s="79">
        <v>156</v>
      </c>
      <c r="G104" s="82">
        <v>287</v>
      </c>
      <c r="H104" s="79">
        <v>63</v>
      </c>
      <c r="I104" s="71">
        <v>122</v>
      </c>
      <c r="J104" s="71">
        <v>3</v>
      </c>
      <c r="K104" s="71">
        <v>15</v>
      </c>
      <c r="L104" s="71">
        <f t="shared" si="2"/>
        <v>66</v>
      </c>
      <c r="M104" s="82">
        <f t="shared" si="2"/>
        <v>137</v>
      </c>
      <c r="N104" s="79">
        <v>14</v>
      </c>
      <c r="O104" s="71">
        <v>1</v>
      </c>
      <c r="P104" s="71">
        <v>94</v>
      </c>
      <c r="Q104" s="82">
        <v>110</v>
      </c>
      <c r="R104" s="79">
        <f>66+110+760-180-33</f>
        <v>723</v>
      </c>
      <c r="S104" s="82">
        <f>137+110+1016-180-33</f>
        <v>1050</v>
      </c>
      <c r="T104" s="79">
        <v>11</v>
      </c>
      <c r="U104" s="71">
        <v>11</v>
      </c>
      <c r="V104" s="71">
        <v>34</v>
      </c>
      <c r="W104" s="71">
        <v>34</v>
      </c>
      <c r="X104" s="71">
        <v>38</v>
      </c>
      <c r="Y104" s="88">
        <v>38</v>
      </c>
    </row>
    <row r="105" spans="2:25" ht="15" customHeight="1">
      <c r="B105" s="97" t="s">
        <v>145</v>
      </c>
      <c r="C105" s="20">
        <v>1</v>
      </c>
      <c r="D105" s="20" t="s">
        <v>52</v>
      </c>
      <c r="E105" s="33">
        <v>87</v>
      </c>
      <c r="F105" s="79">
        <v>10</v>
      </c>
      <c r="G105" s="82">
        <v>22</v>
      </c>
      <c r="H105" s="79">
        <v>5</v>
      </c>
      <c r="I105" s="71">
        <v>12</v>
      </c>
      <c r="J105" s="71">
        <v>0</v>
      </c>
      <c r="K105" s="71">
        <v>0</v>
      </c>
      <c r="L105" s="71">
        <f t="shared" si="2"/>
        <v>5</v>
      </c>
      <c r="M105" s="82">
        <f t="shared" si="2"/>
        <v>12</v>
      </c>
      <c r="N105" s="79">
        <v>2</v>
      </c>
      <c r="O105" s="71">
        <v>0</v>
      </c>
      <c r="P105" s="71">
        <v>2</v>
      </c>
      <c r="Q105" s="82">
        <v>4</v>
      </c>
      <c r="R105" s="79">
        <f>5+4+42-9</f>
        <v>42</v>
      </c>
      <c r="S105" s="82">
        <f>12+4+54-9</f>
        <v>61</v>
      </c>
      <c r="T105" s="79">
        <v>0</v>
      </c>
      <c r="U105" s="71">
        <v>0</v>
      </c>
      <c r="V105" s="71">
        <v>2</v>
      </c>
      <c r="W105" s="71">
        <v>2</v>
      </c>
      <c r="X105" s="71">
        <v>2</v>
      </c>
      <c r="Y105" s="88">
        <v>2</v>
      </c>
    </row>
    <row r="106" spans="2:25" ht="15" customHeight="1">
      <c r="B106" s="97" t="s">
        <v>146</v>
      </c>
      <c r="C106" s="20"/>
      <c r="D106" s="20"/>
      <c r="E106" s="107">
        <v>88</v>
      </c>
      <c r="F106" s="79">
        <v>488</v>
      </c>
      <c r="G106" s="82">
        <v>1036</v>
      </c>
      <c r="H106" s="79">
        <v>160</v>
      </c>
      <c r="I106" s="71">
        <v>371</v>
      </c>
      <c r="J106" s="71">
        <v>7</v>
      </c>
      <c r="K106" s="71">
        <v>29</v>
      </c>
      <c r="L106" s="71">
        <f t="shared" si="2"/>
        <v>167</v>
      </c>
      <c r="M106" s="82">
        <f t="shared" si="2"/>
        <v>400</v>
      </c>
      <c r="N106" s="79">
        <v>27</v>
      </c>
      <c r="O106" s="71">
        <v>0</v>
      </c>
      <c r="P106" s="71">
        <v>99</v>
      </c>
      <c r="Q106" s="82">
        <v>127</v>
      </c>
      <c r="R106" s="79">
        <f>167+127+1565-316-34</f>
        <v>1509</v>
      </c>
      <c r="S106" s="82">
        <f>400+127+2328-316-34</f>
        <v>2505</v>
      </c>
      <c r="T106" s="79">
        <v>22</v>
      </c>
      <c r="U106" s="71">
        <v>22</v>
      </c>
      <c r="V106" s="71">
        <v>82</v>
      </c>
      <c r="W106" s="71">
        <v>82</v>
      </c>
      <c r="X106" s="71">
        <v>94</v>
      </c>
      <c r="Y106" s="88">
        <v>94</v>
      </c>
    </row>
    <row r="107" spans="2:25" ht="15" customHeight="1">
      <c r="B107" s="97" t="s">
        <v>147</v>
      </c>
      <c r="C107" s="20" t="s">
        <v>63</v>
      </c>
      <c r="D107" s="20"/>
      <c r="E107" s="33">
        <v>89</v>
      </c>
      <c r="F107" s="79">
        <v>4022</v>
      </c>
      <c r="G107" s="82">
        <v>8840</v>
      </c>
      <c r="H107" s="79">
        <v>1491</v>
      </c>
      <c r="I107" s="71">
        <v>3742</v>
      </c>
      <c r="J107" s="71">
        <v>85</v>
      </c>
      <c r="K107" s="71">
        <v>356</v>
      </c>
      <c r="L107" s="71">
        <f t="shared" si="2"/>
        <v>1576</v>
      </c>
      <c r="M107" s="82">
        <f t="shared" si="2"/>
        <v>4098</v>
      </c>
      <c r="N107" s="79">
        <v>290</v>
      </c>
      <c r="O107" s="71">
        <v>5</v>
      </c>
      <c r="P107" s="71">
        <v>762</v>
      </c>
      <c r="Q107" s="82">
        <v>1057</v>
      </c>
      <c r="R107" s="79">
        <f>1576+1057+7350-1482-128</f>
        <v>8373</v>
      </c>
      <c r="S107" s="82">
        <f>4098+1057+11441-1482-128</f>
        <v>14986</v>
      </c>
      <c r="T107" s="79">
        <v>234</v>
      </c>
      <c r="U107" s="71">
        <v>235</v>
      </c>
      <c r="V107" s="71">
        <v>871</v>
      </c>
      <c r="W107" s="71">
        <v>871</v>
      </c>
      <c r="X107" s="71">
        <v>959</v>
      </c>
      <c r="Y107" s="88">
        <v>959</v>
      </c>
    </row>
    <row r="108" spans="2:25" ht="15" customHeight="1">
      <c r="B108" s="97" t="s">
        <v>148</v>
      </c>
      <c r="C108" s="20"/>
      <c r="D108" s="20"/>
      <c r="E108" s="33">
        <v>90</v>
      </c>
      <c r="F108" s="79">
        <v>25</v>
      </c>
      <c r="G108" s="82">
        <v>37</v>
      </c>
      <c r="H108" s="79">
        <v>3</v>
      </c>
      <c r="I108" s="71">
        <v>4</v>
      </c>
      <c r="J108" s="71">
        <v>0</v>
      </c>
      <c r="K108" s="71">
        <v>0</v>
      </c>
      <c r="L108" s="71">
        <f t="shared" si="2"/>
        <v>3</v>
      </c>
      <c r="M108" s="82">
        <f t="shared" si="2"/>
        <v>4</v>
      </c>
      <c r="N108" s="79">
        <v>5</v>
      </c>
      <c r="O108" s="71">
        <v>0</v>
      </c>
      <c r="P108" s="71">
        <v>13</v>
      </c>
      <c r="Q108" s="82">
        <v>18</v>
      </c>
      <c r="R108" s="79">
        <f>3+18+177-47-10</f>
        <v>141</v>
      </c>
      <c r="S108" s="82">
        <f>4+18+201-47-10</f>
        <v>166</v>
      </c>
      <c r="T108" s="79">
        <v>0</v>
      </c>
      <c r="U108" s="71">
        <v>0</v>
      </c>
      <c r="V108" s="71">
        <v>10</v>
      </c>
      <c r="W108" s="71">
        <v>10</v>
      </c>
      <c r="X108" s="71">
        <v>10</v>
      </c>
      <c r="Y108" s="88">
        <v>10</v>
      </c>
    </row>
    <row r="109" spans="2:25" ht="15" customHeight="1">
      <c r="B109" s="97" t="s">
        <v>149</v>
      </c>
      <c r="C109" s="20"/>
      <c r="D109" s="20"/>
      <c r="E109" s="107">
        <v>91</v>
      </c>
      <c r="F109" s="79">
        <v>32</v>
      </c>
      <c r="G109" s="82">
        <v>64</v>
      </c>
      <c r="H109" s="79">
        <v>15</v>
      </c>
      <c r="I109" s="71">
        <v>31</v>
      </c>
      <c r="J109" s="71">
        <v>0</v>
      </c>
      <c r="K109" s="71">
        <v>3</v>
      </c>
      <c r="L109" s="71">
        <f t="shared" si="2"/>
        <v>15</v>
      </c>
      <c r="M109" s="82">
        <f t="shared" si="2"/>
        <v>34</v>
      </c>
      <c r="N109" s="79">
        <v>2</v>
      </c>
      <c r="O109" s="71">
        <v>0</v>
      </c>
      <c r="P109" s="71">
        <v>12</v>
      </c>
      <c r="Q109" s="82">
        <v>15</v>
      </c>
      <c r="R109" s="79">
        <f>15+15+234-43-9</f>
        <v>212</v>
      </c>
      <c r="S109" s="82">
        <f>34+15+326-43-9</f>
        <v>323</v>
      </c>
      <c r="T109" s="79">
        <v>2</v>
      </c>
      <c r="U109" s="71">
        <v>2</v>
      </c>
      <c r="V109" s="71">
        <v>7</v>
      </c>
      <c r="W109" s="71">
        <v>7</v>
      </c>
      <c r="X109" s="71">
        <v>9</v>
      </c>
      <c r="Y109" s="88">
        <v>9</v>
      </c>
    </row>
    <row r="110" spans="2:25" ht="15" customHeight="1">
      <c r="B110" s="97" t="s">
        <v>150</v>
      </c>
      <c r="C110" s="20">
        <v>1</v>
      </c>
      <c r="D110" s="20" t="s">
        <v>52</v>
      </c>
      <c r="E110" s="33">
        <v>92</v>
      </c>
      <c r="F110" s="79">
        <v>15</v>
      </c>
      <c r="G110" s="82">
        <v>31</v>
      </c>
      <c r="H110" s="79">
        <v>4</v>
      </c>
      <c r="I110" s="71">
        <v>9</v>
      </c>
      <c r="J110" s="71">
        <v>0</v>
      </c>
      <c r="K110" s="71">
        <v>0</v>
      </c>
      <c r="L110" s="71">
        <f t="shared" si="2"/>
        <v>4</v>
      </c>
      <c r="M110" s="82">
        <f t="shared" si="2"/>
        <v>9</v>
      </c>
      <c r="N110" s="79">
        <v>0</v>
      </c>
      <c r="O110" s="71">
        <v>1</v>
      </c>
      <c r="P110" s="71">
        <v>10</v>
      </c>
      <c r="Q110" s="82">
        <v>11</v>
      </c>
      <c r="R110" s="79">
        <f>4+11+90-16-4</f>
        <v>85</v>
      </c>
      <c r="S110" s="82">
        <f>9+11+122-16-4</f>
        <v>122</v>
      </c>
      <c r="T110" s="79">
        <v>1</v>
      </c>
      <c r="U110" s="71">
        <v>1</v>
      </c>
      <c r="V110" s="71">
        <v>5</v>
      </c>
      <c r="W110" s="71">
        <v>5</v>
      </c>
      <c r="X110" s="71">
        <v>6</v>
      </c>
      <c r="Y110" s="88">
        <v>6</v>
      </c>
    </row>
    <row r="111" spans="2:25" ht="15" customHeight="1">
      <c r="B111" s="97" t="s">
        <v>151</v>
      </c>
      <c r="C111" s="20" t="s">
        <v>63</v>
      </c>
      <c r="D111" s="20"/>
      <c r="E111" s="33">
        <v>93</v>
      </c>
      <c r="F111" s="79">
        <v>11158</v>
      </c>
      <c r="G111" s="82">
        <v>22979</v>
      </c>
      <c r="H111" s="79">
        <v>4237</v>
      </c>
      <c r="I111" s="71">
        <v>10946</v>
      </c>
      <c r="J111" s="71">
        <v>99</v>
      </c>
      <c r="K111" s="71">
        <v>416</v>
      </c>
      <c r="L111" s="71">
        <f t="shared" si="2"/>
        <v>4336</v>
      </c>
      <c r="M111" s="82">
        <f t="shared" si="2"/>
        <v>11362</v>
      </c>
      <c r="N111" s="79">
        <v>600</v>
      </c>
      <c r="O111" s="71">
        <v>4</v>
      </c>
      <c r="P111" s="71">
        <v>1526</v>
      </c>
      <c r="Q111" s="82">
        <v>2131</v>
      </c>
      <c r="R111" s="79">
        <f>4336+2131+14863-2794-198</f>
        <v>18338</v>
      </c>
      <c r="S111" s="82">
        <f>11362+2131+21378-2794-57</f>
        <v>32020</v>
      </c>
      <c r="T111" s="79">
        <v>510</v>
      </c>
      <c r="U111" s="71">
        <v>525</v>
      </c>
      <c r="V111" s="71">
        <v>2795</v>
      </c>
      <c r="W111" s="71">
        <v>2798</v>
      </c>
      <c r="X111" s="71">
        <v>3037</v>
      </c>
      <c r="Y111" s="88">
        <v>3047</v>
      </c>
    </row>
    <row r="112" spans="2:25" ht="15" customHeight="1">
      <c r="B112" s="97" t="s">
        <v>152</v>
      </c>
      <c r="C112" s="20"/>
      <c r="D112" s="20"/>
      <c r="E112" s="33">
        <v>95</v>
      </c>
      <c r="F112" s="79">
        <v>1460</v>
      </c>
      <c r="G112" s="82">
        <v>2942</v>
      </c>
      <c r="H112" s="79">
        <v>465</v>
      </c>
      <c r="I112" s="71">
        <v>1115</v>
      </c>
      <c r="J112" s="71">
        <v>30</v>
      </c>
      <c r="K112" s="71">
        <v>127</v>
      </c>
      <c r="L112" s="71">
        <f t="shared" si="2"/>
        <v>495</v>
      </c>
      <c r="M112" s="82">
        <f t="shared" si="2"/>
        <v>1242</v>
      </c>
      <c r="N112" s="79">
        <v>88</v>
      </c>
      <c r="O112" s="71">
        <v>1</v>
      </c>
      <c r="P112" s="71">
        <v>332</v>
      </c>
      <c r="Q112" s="82">
        <v>422</v>
      </c>
      <c r="R112" s="79">
        <f>495+422+3007-707-78</f>
        <v>3139</v>
      </c>
      <c r="S112" s="82">
        <f>1242+422+4421-707-78</f>
        <v>5300</v>
      </c>
      <c r="T112" s="79">
        <v>44</v>
      </c>
      <c r="U112" s="71">
        <v>47</v>
      </c>
      <c r="V112" s="71">
        <v>248</v>
      </c>
      <c r="W112" s="71">
        <v>248</v>
      </c>
      <c r="X112" s="71">
        <v>265</v>
      </c>
      <c r="Y112" s="88">
        <v>267</v>
      </c>
    </row>
    <row r="113" spans="2:25" ht="15" customHeight="1">
      <c r="B113" s="97" t="s">
        <v>153</v>
      </c>
      <c r="C113" s="20"/>
      <c r="D113" s="20"/>
      <c r="E113" s="33">
        <v>96</v>
      </c>
      <c r="F113" s="79">
        <v>200</v>
      </c>
      <c r="G113" s="82">
        <v>329</v>
      </c>
      <c r="H113" s="79">
        <v>53</v>
      </c>
      <c r="I113" s="71">
        <v>98</v>
      </c>
      <c r="J113" s="71">
        <v>1</v>
      </c>
      <c r="K113" s="71">
        <v>7</v>
      </c>
      <c r="L113" s="71">
        <f t="shared" si="2"/>
        <v>54</v>
      </c>
      <c r="M113" s="82">
        <f t="shared" si="2"/>
        <v>105</v>
      </c>
      <c r="N113" s="79">
        <v>28</v>
      </c>
      <c r="O113" s="71">
        <v>0</v>
      </c>
      <c r="P113" s="71">
        <v>83</v>
      </c>
      <c r="Q113" s="82">
        <v>111</v>
      </c>
      <c r="R113" s="79">
        <f>54+111+1108-264-54</f>
        <v>955</v>
      </c>
      <c r="S113" s="82">
        <f>105+111+1452-264-54</f>
        <v>1350</v>
      </c>
      <c r="T113" s="79">
        <v>11</v>
      </c>
      <c r="U113" s="71">
        <v>13</v>
      </c>
      <c r="V113" s="71">
        <v>44</v>
      </c>
      <c r="W113" s="71">
        <v>44</v>
      </c>
      <c r="X113" s="71">
        <v>50</v>
      </c>
      <c r="Y113" s="88">
        <v>52</v>
      </c>
    </row>
    <row r="114" spans="2:25" ht="15" customHeight="1">
      <c r="B114" s="97" t="s">
        <v>154</v>
      </c>
      <c r="C114" s="20"/>
      <c r="D114" s="20"/>
      <c r="E114" s="107">
        <v>94</v>
      </c>
      <c r="F114" s="79">
        <v>191</v>
      </c>
      <c r="G114" s="82">
        <v>325</v>
      </c>
      <c r="H114" s="79">
        <v>50</v>
      </c>
      <c r="I114" s="71">
        <v>103</v>
      </c>
      <c r="J114" s="71">
        <v>2</v>
      </c>
      <c r="K114" s="71">
        <v>10</v>
      </c>
      <c r="L114" s="71">
        <f t="shared" si="2"/>
        <v>52</v>
      </c>
      <c r="M114" s="82">
        <f t="shared" si="2"/>
        <v>113</v>
      </c>
      <c r="N114" s="79">
        <v>25</v>
      </c>
      <c r="O114" s="71">
        <v>2</v>
      </c>
      <c r="P114" s="71">
        <v>60</v>
      </c>
      <c r="Q114" s="82">
        <v>88</v>
      </c>
      <c r="R114" s="79">
        <f>52+88+1094-263-44</f>
        <v>927</v>
      </c>
      <c r="S114" s="82">
        <f>113+88+1349-263-44</f>
        <v>1243</v>
      </c>
      <c r="T114" s="79">
        <v>18</v>
      </c>
      <c r="U114" s="71">
        <v>18</v>
      </c>
      <c r="V114" s="71">
        <v>57</v>
      </c>
      <c r="W114" s="71">
        <v>57</v>
      </c>
      <c r="X114" s="71">
        <v>65</v>
      </c>
      <c r="Y114" s="88">
        <v>65</v>
      </c>
    </row>
    <row r="115" spans="2:25" ht="15" customHeight="1">
      <c r="B115" s="97" t="s">
        <v>155</v>
      </c>
      <c r="C115" s="20"/>
      <c r="D115" s="20"/>
      <c r="E115" s="107">
        <v>97</v>
      </c>
      <c r="F115" s="79">
        <v>143</v>
      </c>
      <c r="G115" s="82">
        <v>182</v>
      </c>
      <c r="H115" s="79">
        <v>9</v>
      </c>
      <c r="I115" s="71">
        <v>18</v>
      </c>
      <c r="J115" s="71">
        <v>3</v>
      </c>
      <c r="K115" s="71">
        <v>11</v>
      </c>
      <c r="L115" s="71">
        <f aca="true" t="shared" si="3" ref="L115:M146">SUM(H115,J115)</f>
        <v>12</v>
      </c>
      <c r="M115" s="82">
        <f t="shared" si="3"/>
        <v>29</v>
      </c>
      <c r="N115" s="79">
        <v>7</v>
      </c>
      <c r="O115" s="71">
        <v>0</v>
      </c>
      <c r="P115" s="71">
        <v>23</v>
      </c>
      <c r="Q115" s="82">
        <v>30</v>
      </c>
      <c r="R115" s="79">
        <f>12+30+519-104-32</f>
        <v>425</v>
      </c>
      <c r="S115" s="82">
        <f>29+30+623-104-32</f>
        <v>546</v>
      </c>
      <c r="T115" s="79">
        <v>7</v>
      </c>
      <c r="U115" s="71">
        <v>7</v>
      </c>
      <c r="V115" s="71">
        <v>60</v>
      </c>
      <c r="W115" s="71">
        <v>60</v>
      </c>
      <c r="X115" s="71">
        <v>64</v>
      </c>
      <c r="Y115" s="88">
        <v>64</v>
      </c>
    </row>
    <row r="116" spans="2:25" ht="15" customHeight="1">
      <c r="B116" s="97" t="s">
        <v>156</v>
      </c>
      <c r="C116" s="20">
        <v>1</v>
      </c>
      <c r="D116" s="20" t="s">
        <v>52</v>
      </c>
      <c r="E116" s="33">
        <v>98</v>
      </c>
      <c r="F116" s="79">
        <v>9</v>
      </c>
      <c r="G116" s="82">
        <v>21</v>
      </c>
      <c r="H116" s="79">
        <v>5</v>
      </c>
      <c r="I116" s="71">
        <v>11</v>
      </c>
      <c r="J116" s="71">
        <v>0</v>
      </c>
      <c r="K116" s="71">
        <v>0</v>
      </c>
      <c r="L116" s="71">
        <f t="shared" si="3"/>
        <v>5</v>
      </c>
      <c r="M116" s="82">
        <f t="shared" si="3"/>
        <v>11</v>
      </c>
      <c r="N116" s="79">
        <v>2</v>
      </c>
      <c r="O116" s="71">
        <v>0</v>
      </c>
      <c r="P116" s="71">
        <v>12</v>
      </c>
      <c r="Q116" s="82">
        <v>14</v>
      </c>
      <c r="R116" s="79">
        <f>5+14+53-11-2</f>
        <v>59</v>
      </c>
      <c r="S116" s="82">
        <f>11+14+82-11-2</f>
        <v>94</v>
      </c>
      <c r="T116" s="79">
        <v>0</v>
      </c>
      <c r="U116" s="71">
        <v>0</v>
      </c>
      <c r="V116" s="71">
        <v>2</v>
      </c>
      <c r="W116" s="71">
        <v>2</v>
      </c>
      <c r="X116" s="71">
        <v>2</v>
      </c>
      <c r="Y116" s="88">
        <v>2</v>
      </c>
    </row>
    <row r="117" spans="2:25" ht="15" customHeight="1">
      <c r="B117" s="97" t="s">
        <v>157</v>
      </c>
      <c r="C117" s="20"/>
      <c r="D117" s="20"/>
      <c r="E117" s="33">
        <v>99</v>
      </c>
      <c r="F117" s="79">
        <v>66</v>
      </c>
      <c r="G117" s="82">
        <v>106</v>
      </c>
      <c r="H117" s="79">
        <v>28</v>
      </c>
      <c r="I117" s="71">
        <v>55</v>
      </c>
      <c r="J117" s="71">
        <v>0</v>
      </c>
      <c r="K117" s="71">
        <v>0</v>
      </c>
      <c r="L117" s="71">
        <f t="shared" si="3"/>
        <v>28</v>
      </c>
      <c r="M117" s="82">
        <f t="shared" si="3"/>
        <v>55</v>
      </c>
      <c r="N117" s="79">
        <v>8</v>
      </c>
      <c r="O117" s="71">
        <v>0</v>
      </c>
      <c r="P117" s="71">
        <v>18</v>
      </c>
      <c r="Q117" s="82">
        <v>26</v>
      </c>
      <c r="R117" s="79">
        <f>28+26+257-36-7</f>
        <v>268</v>
      </c>
      <c r="S117" s="82">
        <f>55+26+349-36-7</f>
        <v>387</v>
      </c>
      <c r="T117" s="79">
        <v>3</v>
      </c>
      <c r="U117" s="71">
        <v>4</v>
      </c>
      <c r="V117" s="71">
        <v>20</v>
      </c>
      <c r="W117" s="71">
        <v>20</v>
      </c>
      <c r="X117" s="71">
        <v>22</v>
      </c>
      <c r="Y117" s="88">
        <v>23</v>
      </c>
    </row>
    <row r="118" spans="2:25" ht="15" customHeight="1">
      <c r="B118" s="97" t="s">
        <v>158</v>
      </c>
      <c r="C118" s="20">
        <v>1</v>
      </c>
      <c r="D118" s="20" t="s">
        <v>52</v>
      </c>
      <c r="E118" s="107">
        <v>100</v>
      </c>
      <c r="F118" s="79">
        <v>33</v>
      </c>
      <c r="G118" s="82">
        <v>62</v>
      </c>
      <c r="H118" s="79">
        <v>13</v>
      </c>
      <c r="I118" s="71">
        <v>24</v>
      </c>
      <c r="J118" s="71">
        <v>2</v>
      </c>
      <c r="K118" s="71">
        <v>5</v>
      </c>
      <c r="L118" s="71">
        <f t="shared" si="3"/>
        <v>15</v>
      </c>
      <c r="M118" s="82">
        <f t="shared" si="3"/>
        <v>29</v>
      </c>
      <c r="N118" s="79">
        <v>3</v>
      </c>
      <c r="O118" s="71">
        <v>0</v>
      </c>
      <c r="P118" s="71">
        <v>19</v>
      </c>
      <c r="Q118" s="82">
        <v>22</v>
      </c>
      <c r="R118" s="79">
        <v>219</v>
      </c>
      <c r="S118" s="82">
        <v>310</v>
      </c>
      <c r="T118" s="79">
        <v>0</v>
      </c>
      <c r="U118" s="71">
        <v>0</v>
      </c>
      <c r="V118" s="71">
        <v>7</v>
      </c>
      <c r="W118" s="71">
        <v>7</v>
      </c>
      <c r="X118" s="71">
        <v>9</v>
      </c>
      <c r="Y118" s="88">
        <v>9</v>
      </c>
    </row>
    <row r="119" spans="2:25" ht="15" customHeight="1">
      <c r="B119" s="97" t="s">
        <v>159</v>
      </c>
      <c r="C119" s="20"/>
      <c r="D119" s="20"/>
      <c r="E119" s="33">
        <v>101</v>
      </c>
      <c r="F119" s="79">
        <v>138</v>
      </c>
      <c r="G119" s="82">
        <v>231</v>
      </c>
      <c r="H119" s="79">
        <v>46</v>
      </c>
      <c r="I119" s="71">
        <v>86</v>
      </c>
      <c r="J119" s="71">
        <v>3</v>
      </c>
      <c r="K119" s="71">
        <v>11</v>
      </c>
      <c r="L119" s="71">
        <f t="shared" si="3"/>
        <v>49</v>
      </c>
      <c r="M119" s="82">
        <f t="shared" si="3"/>
        <v>97</v>
      </c>
      <c r="N119" s="79">
        <v>14</v>
      </c>
      <c r="O119" s="71">
        <v>0</v>
      </c>
      <c r="P119" s="71">
        <v>58</v>
      </c>
      <c r="Q119" s="82">
        <v>72</v>
      </c>
      <c r="R119" s="79">
        <f>49+72+677-170-16</f>
        <v>612</v>
      </c>
      <c r="S119" s="82">
        <f>97+72+804-170-16</f>
        <v>787</v>
      </c>
      <c r="T119" s="79">
        <v>10</v>
      </c>
      <c r="U119" s="71">
        <v>10</v>
      </c>
      <c r="V119" s="71">
        <v>39</v>
      </c>
      <c r="W119" s="71">
        <v>39</v>
      </c>
      <c r="X119" s="71">
        <v>46</v>
      </c>
      <c r="Y119" s="88">
        <v>46</v>
      </c>
    </row>
    <row r="120" spans="2:25" ht="15" customHeight="1">
      <c r="B120" s="97" t="s">
        <v>160</v>
      </c>
      <c r="C120" s="20">
        <v>1</v>
      </c>
      <c r="D120" s="20" t="s">
        <v>47</v>
      </c>
      <c r="E120" s="33">
        <v>102</v>
      </c>
      <c r="F120" s="79">
        <v>24</v>
      </c>
      <c r="G120" s="82">
        <v>42</v>
      </c>
      <c r="H120" s="79">
        <v>7</v>
      </c>
      <c r="I120" s="71">
        <v>14</v>
      </c>
      <c r="J120" s="71">
        <v>2</v>
      </c>
      <c r="K120" s="71">
        <v>8</v>
      </c>
      <c r="L120" s="71">
        <f t="shared" si="3"/>
        <v>9</v>
      </c>
      <c r="M120" s="82">
        <f t="shared" si="3"/>
        <v>22</v>
      </c>
      <c r="N120" s="79">
        <v>0</v>
      </c>
      <c r="O120" s="71">
        <v>1</v>
      </c>
      <c r="P120" s="71">
        <v>10</v>
      </c>
      <c r="Q120" s="82">
        <v>12</v>
      </c>
      <c r="R120" s="79">
        <f>9+12+93-18-3</f>
        <v>93</v>
      </c>
      <c r="S120" s="82">
        <f>22+12+131-18-3</f>
        <v>144</v>
      </c>
      <c r="T120" s="79">
        <v>1</v>
      </c>
      <c r="U120" s="71">
        <v>1</v>
      </c>
      <c r="V120" s="71">
        <v>6</v>
      </c>
      <c r="W120" s="71">
        <v>6</v>
      </c>
      <c r="X120" s="71">
        <v>6</v>
      </c>
      <c r="Y120" s="88">
        <v>6</v>
      </c>
    </row>
    <row r="121" spans="2:25" ht="15" customHeight="1">
      <c r="B121" s="97" t="s">
        <v>161</v>
      </c>
      <c r="C121" s="20" t="s">
        <v>63</v>
      </c>
      <c r="D121" s="20"/>
      <c r="E121" s="107">
        <v>103</v>
      </c>
      <c r="F121" s="79">
        <v>1645</v>
      </c>
      <c r="G121" s="82">
        <v>2915</v>
      </c>
      <c r="H121" s="79">
        <v>583</v>
      </c>
      <c r="I121" s="71">
        <v>1270</v>
      </c>
      <c r="J121" s="71">
        <v>9</v>
      </c>
      <c r="K121" s="71">
        <v>35</v>
      </c>
      <c r="L121" s="71">
        <f t="shared" si="3"/>
        <v>592</v>
      </c>
      <c r="M121" s="82">
        <f t="shared" si="3"/>
        <v>1305</v>
      </c>
      <c r="N121" s="79">
        <v>146</v>
      </c>
      <c r="O121" s="71">
        <v>2</v>
      </c>
      <c r="P121" s="71">
        <v>351</v>
      </c>
      <c r="Q121" s="82">
        <v>499</v>
      </c>
      <c r="R121" s="79">
        <f>592+499+4581-1141-151</f>
        <v>4380</v>
      </c>
      <c r="S121" s="82">
        <f>1305+499+6190-1141-151</f>
        <v>6702</v>
      </c>
      <c r="T121" s="79">
        <v>131</v>
      </c>
      <c r="U121" s="71">
        <v>137</v>
      </c>
      <c r="V121" s="71">
        <v>377</v>
      </c>
      <c r="W121" s="71">
        <v>377</v>
      </c>
      <c r="X121" s="71">
        <v>461</v>
      </c>
      <c r="Y121" s="88">
        <v>464</v>
      </c>
    </row>
    <row r="122" spans="2:25" ht="15" customHeight="1">
      <c r="B122" s="97" t="s">
        <v>162</v>
      </c>
      <c r="C122" s="20"/>
      <c r="D122" s="20"/>
      <c r="E122" s="33">
        <v>104</v>
      </c>
      <c r="F122" s="79">
        <v>1463</v>
      </c>
      <c r="G122" s="82">
        <v>2756</v>
      </c>
      <c r="H122" s="79">
        <v>400</v>
      </c>
      <c r="I122" s="71">
        <v>920</v>
      </c>
      <c r="J122" s="71">
        <v>30</v>
      </c>
      <c r="K122" s="71">
        <v>122</v>
      </c>
      <c r="L122" s="71">
        <f t="shared" si="3"/>
        <v>430</v>
      </c>
      <c r="M122" s="82">
        <f t="shared" si="3"/>
        <v>1042</v>
      </c>
      <c r="N122" s="79">
        <v>106</v>
      </c>
      <c r="O122" s="71">
        <v>2</v>
      </c>
      <c r="P122" s="71">
        <v>403</v>
      </c>
      <c r="Q122" s="82">
        <v>513</v>
      </c>
      <c r="R122" s="79">
        <f>430+513+3459-861-139</f>
        <v>3402</v>
      </c>
      <c r="S122" s="82">
        <f>1042+513+4943-861-139</f>
        <v>5498</v>
      </c>
      <c r="T122" s="79">
        <v>25</v>
      </c>
      <c r="U122" s="71">
        <v>27</v>
      </c>
      <c r="V122" s="71">
        <v>139</v>
      </c>
      <c r="W122" s="71">
        <v>139</v>
      </c>
      <c r="X122" s="71">
        <v>150</v>
      </c>
      <c r="Y122" s="88">
        <v>152</v>
      </c>
    </row>
    <row r="123" spans="2:25" ht="15" customHeight="1">
      <c r="B123" s="97" t="s">
        <v>163</v>
      </c>
      <c r="C123" s="20"/>
      <c r="D123" s="20"/>
      <c r="E123" s="33">
        <v>105</v>
      </c>
      <c r="F123" s="79">
        <v>24</v>
      </c>
      <c r="G123" s="82">
        <v>47</v>
      </c>
      <c r="H123" s="79">
        <v>7</v>
      </c>
      <c r="I123" s="71">
        <v>19</v>
      </c>
      <c r="J123" s="71">
        <v>0</v>
      </c>
      <c r="K123" s="71">
        <v>0</v>
      </c>
      <c r="L123" s="71">
        <f t="shared" si="3"/>
        <v>7</v>
      </c>
      <c r="M123" s="82">
        <f t="shared" si="3"/>
        <v>19</v>
      </c>
      <c r="N123" s="79">
        <v>2</v>
      </c>
      <c r="O123" s="71">
        <v>1</v>
      </c>
      <c r="P123" s="71">
        <v>17</v>
      </c>
      <c r="Q123" s="82">
        <v>20</v>
      </c>
      <c r="R123" s="79">
        <f>7+20+144-42-8</f>
        <v>121</v>
      </c>
      <c r="S123" s="82">
        <f>19+20+194-42-8</f>
        <v>183</v>
      </c>
      <c r="T123" s="79">
        <v>0</v>
      </c>
      <c r="U123" s="71">
        <v>0</v>
      </c>
      <c r="V123" s="71">
        <v>7</v>
      </c>
      <c r="W123" s="71">
        <v>7</v>
      </c>
      <c r="X123" s="71">
        <v>7</v>
      </c>
      <c r="Y123" s="88">
        <v>7</v>
      </c>
    </row>
    <row r="124" spans="2:25" ht="15" customHeight="1">
      <c r="B124" s="97" t="s">
        <v>204</v>
      </c>
      <c r="C124" s="20"/>
      <c r="D124" s="20"/>
      <c r="E124" s="107">
        <v>106</v>
      </c>
      <c r="F124" s="79">
        <v>37</v>
      </c>
      <c r="G124" s="82">
        <v>68</v>
      </c>
      <c r="H124" s="79">
        <v>16</v>
      </c>
      <c r="I124" s="71">
        <v>33</v>
      </c>
      <c r="J124" s="71">
        <v>0</v>
      </c>
      <c r="K124" s="71">
        <v>0</v>
      </c>
      <c r="L124" s="71">
        <f t="shared" si="3"/>
        <v>16</v>
      </c>
      <c r="M124" s="82">
        <f t="shared" si="3"/>
        <v>33</v>
      </c>
      <c r="N124" s="79">
        <v>4</v>
      </c>
      <c r="O124" s="71">
        <v>0</v>
      </c>
      <c r="P124" s="71">
        <v>20</v>
      </c>
      <c r="Q124" s="82">
        <v>25</v>
      </c>
      <c r="R124" s="79">
        <f>16+25+466-115-33</f>
        <v>359</v>
      </c>
      <c r="S124" s="82">
        <f>33+25+559-115-33</f>
        <v>469</v>
      </c>
      <c r="T124" s="79">
        <v>2</v>
      </c>
      <c r="U124" s="71">
        <v>2</v>
      </c>
      <c r="V124" s="71">
        <v>8</v>
      </c>
      <c r="W124" s="71">
        <v>8</v>
      </c>
      <c r="X124" s="71">
        <v>10</v>
      </c>
      <c r="Y124" s="88">
        <v>10</v>
      </c>
    </row>
    <row r="125" spans="2:25" ht="15" customHeight="1">
      <c r="B125" s="97" t="s">
        <v>205</v>
      </c>
      <c r="C125" s="20"/>
      <c r="D125" s="20"/>
      <c r="E125" s="33">
        <v>107</v>
      </c>
      <c r="F125" s="79">
        <v>39</v>
      </c>
      <c r="G125" s="82">
        <v>53</v>
      </c>
      <c r="H125" s="79">
        <v>10</v>
      </c>
      <c r="I125" s="71">
        <v>17</v>
      </c>
      <c r="J125" s="71">
        <v>0</v>
      </c>
      <c r="K125" s="71">
        <v>1</v>
      </c>
      <c r="L125" s="71">
        <f t="shared" si="3"/>
        <v>10</v>
      </c>
      <c r="M125" s="82">
        <f t="shared" si="3"/>
        <v>18</v>
      </c>
      <c r="N125" s="79">
        <v>7</v>
      </c>
      <c r="O125" s="71">
        <v>0</v>
      </c>
      <c r="P125" s="71">
        <v>26</v>
      </c>
      <c r="Q125" s="82">
        <v>33</v>
      </c>
      <c r="R125" s="79">
        <f>10+33+265-74-6</f>
        <v>228</v>
      </c>
      <c r="S125" s="82">
        <f>18+33+302-74-6</f>
        <v>273</v>
      </c>
      <c r="T125" s="79">
        <v>5</v>
      </c>
      <c r="U125" s="71">
        <v>5</v>
      </c>
      <c r="V125" s="71">
        <v>11</v>
      </c>
      <c r="W125" s="71">
        <v>11</v>
      </c>
      <c r="X125" s="71">
        <v>13</v>
      </c>
      <c r="Y125" s="88">
        <v>13</v>
      </c>
    </row>
    <row r="126" spans="2:25" ht="15" customHeight="1">
      <c r="B126" s="97" t="s">
        <v>206</v>
      </c>
      <c r="C126" s="20"/>
      <c r="D126" s="20"/>
      <c r="E126" s="33">
        <v>108</v>
      </c>
      <c r="F126" s="79">
        <v>34</v>
      </c>
      <c r="G126" s="82">
        <v>58</v>
      </c>
      <c r="H126" s="79">
        <v>10</v>
      </c>
      <c r="I126" s="71">
        <v>20</v>
      </c>
      <c r="J126" s="71">
        <v>0</v>
      </c>
      <c r="K126" s="71">
        <v>0</v>
      </c>
      <c r="L126" s="71">
        <f t="shared" si="3"/>
        <v>10</v>
      </c>
      <c r="M126" s="82">
        <f t="shared" si="3"/>
        <v>20</v>
      </c>
      <c r="N126" s="79">
        <v>1</v>
      </c>
      <c r="O126" s="71">
        <v>0</v>
      </c>
      <c r="P126" s="71">
        <v>14</v>
      </c>
      <c r="Q126" s="82">
        <v>16</v>
      </c>
      <c r="R126" s="79">
        <f>10+16+173-29-8</f>
        <v>162</v>
      </c>
      <c r="S126" s="82">
        <f>20+16+237-29-8</f>
        <v>236</v>
      </c>
      <c r="T126" s="79">
        <v>2</v>
      </c>
      <c r="U126" s="71">
        <v>2</v>
      </c>
      <c r="V126" s="71">
        <v>6</v>
      </c>
      <c r="W126" s="71">
        <v>6</v>
      </c>
      <c r="X126" s="71">
        <v>8</v>
      </c>
      <c r="Y126" s="88">
        <v>8</v>
      </c>
    </row>
    <row r="127" spans="2:25" ht="15" customHeight="1">
      <c r="B127" s="97" t="s">
        <v>207</v>
      </c>
      <c r="C127" s="20">
        <v>1</v>
      </c>
      <c r="D127" s="20" t="s">
        <v>47</v>
      </c>
      <c r="E127" s="107">
        <v>109</v>
      </c>
      <c r="F127" s="79">
        <v>299</v>
      </c>
      <c r="G127" s="82">
        <v>644</v>
      </c>
      <c r="H127" s="79">
        <v>99</v>
      </c>
      <c r="I127" s="71">
        <v>229</v>
      </c>
      <c r="J127" s="71">
        <v>8</v>
      </c>
      <c r="K127" s="71">
        <v>27</v>
      </c>
      <c r="L127" s="71">
        <f t="shared" si="3"/>
        <v>107</v>
      </c>
      <c r="M127" s="82">
        <f t="shared" si="3"/>
        <v>256</v>
      </c>
      <c r="N127" s="79">
        <v>14</v>
      </c>
      <c r="O127" s="71">
        <v>0</v>
      </c>
      <c r="P127" s="71">
        <v>84</v>
      </c>
      <c r="Q127" s="82">
        <v>99</v>
      </c>
      <c r="R127" s="79">
        <f>107+99+1180-268-63</f>
        <v>1055</v>
      </c>
      <c r="S127" s="82">
        <f>256+99+1645-268-63</f>
        <v>1669</v>
      </c>
      <c r="T127" s="79">
        <v>6</v>
      </c>
      <c r="U127" s="71">
        <v>6</v>
      </c>
      <c r="V127" s="71">
        <v>37</v>
      </c>
      <c r="W127" s="71">
        <v>37</v>
      </c>
      <c r="X127" s="71">
        <v>41</v>
      </c>
      <c r="Y127" s="88">
        <v>41</v>
      </c>
    </row>
    <row r="128" spans="2:25" ht="15" customHeight="1">
      <c r="B128" s="97" t="s">
        <v>208</v>
      </c>
      <c r="C128" s="20"/>
      <c r="D128" s="20"/>
      <c r="E128" s="33">
        <v>110</v>
      </c>
      <c r="F128" s="79">
        <v>205</v>
      </c>
      <c r="G128" s="82">
        <v>334</v>
      </c>
      <c r="H128" s="79">
        <v>60</v>
      </c>
      <c r="I128" s="71">
        <v>122</v>
      </c>
      <c r="J128" s="71">
        <v>1</v>
      </c>
      <c r="K128" s="71">
        <v>7</v>
      </c>
      <c r="L128" s="71">
        <f t="shared" si="3"/>
        <v>61</v>
      </c>
      <c r="M128" s="82">
        <f t="shared" si="3"/>
        <v>129</v>
      </c>
      <c r="N128" s="79">
        <v>22</v>
      </c>
      <c r="O128" s="71">
        <v>0</v>
      </c>
      <c r="P128" s="71">
        <v>71</v>
      </c>
      <c r="Q128" s="82">
        <v>93</v>
      </c>
      <c r="R128" s="79">
        <f>61+93+769-175-27</f>
        <v>721</v>
      </c>
      <c r="S128" s="82">
        <f>129+93+977-175-25</f>
        <v>999</v>
      </c>
      <c r="T128" s="79">
        <v>14</v>
      </c>
      <c r="U128" s="71">
        <v>14</v>
      </c>
      <c r="V128" s="71">
        <v>53</v>
      </c>
      <c r="W128" s="71">
        <v>53</v>
      </c>
      <c r="X128" s="71">
        <v>59</v>
      </c>
      <c r="Y128" s="88">
        <v>59</v>
      </c>
    </row>
    <row r="129" spans="2:25" ht="15" customHeight="1">
      <c r="B129" s="97" t="s">
        <v>209</v>
      </c>
      <c r="C129" s="20">
        <v>1</v>
      </c>
      <c r="D129" s="20" t="s">
        <v>52</v>
      </c>
      <c r="E129" s="33">
        <v>111</v>
      </c>
      <c r="F129" s="79">
        <v>123</v>
      </c>
      <c r="G129" s="82">
        <v>235</v>
      </c>
      <c r="H129" s="79">
        <v>40</v>
      </c>
      <c r="I129" s="71">
        <v>79</v>
      </c>
      <c r="J129" s="71">
        <v>1</v>
      </c>
      <c r="K129" s="71">
        <v>5</v>
      </c>
      <c r="L129" s="71">
        <f t="shared" si="3"/>
        <v>41</v>
      </c>
      <c r="M129" s="82">
        <f t="shared" si="3"/>
        <v>84</v>
      </c>
      <c r="N129" s="79">
        <v>10</v>
      </c>
      <c r="O129" s="71">
        <v>0</v>
      </c>
      <c r="P129" s="71">
        <v>28</v>
      </c>
      <c r="Q129" s="82">
        <v>39</v>
      </c>
      <c r="R129" s="79">
        <f>41+39+483-94-14</f>
        <v>455</v>
      </c>
      <c r="S129" s="82">
        <f>84+39+692-94-14</f>
        <v>707</v>
      </c>
      <c r="T129" s="79">
        <v>9</v>
      </c>
      <c r="U129" s="71">
        <v>9</v>
      </c>
      <c r="V129" s="71">
        <v>33</v>
      </c>
      <c r="W129" s="71">
        <v>33</v>
      </c>
      <c r="X129" s="71">
        <v>36</v>
      </c>
      <c r="Y129" s="88">
        <v>36</v>
      </c>
    </row>
    <row r="130" spans="2:25" ht="15" customHeight="1">
      <c r="B130" s="97" t="s">
        <v>210</v>
      </c>
      <c r="C130" s="20">
        <v>1</v>
      </c>
      <c r="D130" s="20" t="s">
        <v>47</v>
      </c>
      <c r="E130" s="107">
        <v>112</v>
      </c>
      <c r="F130" s="79">
        <v>18</v>
      </c>
      <c r="G130" s="82">
        <v>41</v>
      </c>
      <c r="H130" s="79">
        <v>6</v>
      </c>
      <c r="I130" s="71">
        <v>13</v>
      </c>
      <c r="J130" s="71">
        <v>0</v>
      </c>
      <c r="K130" s="71">
        <v>0</v>
      </c>
      <c r="L130" s="71">
        <f t="shared" si="3"/>
        <v>6</v>
      </c>
      <c r="M130" s="82">
        <f t="shared" si="3"/>
        <v>13</v>
      </c>
      <c r="N130" s="79">
        <v>7</v>
      </c>
      <c r="O130" s="71">
        <v>0</v>
      </c>
      <c r="P130" s="71">
        <v>11</v>
      </c>
      <c r="Q130" s="82">
        <v>18</v>
      </c>
      <c r="R130" s="79">
        <f>6+18+109-29-2</f>
        <v>102</v>
      </c>
      <c r="S130" s="82">
        <f>13+18+167-29-2</f>
        <v>167</v>
      </c>
      <c r="T130" s="79">
        <v>0</v>
      </c>
      <c r="U130" s="71">
        <v>0</v>
      </c>
      <c r="V130" s="71">
        <v>4</v>
      </c>
      <c r="W130" s="71">
        <v>4</v>
      </c>
      <c r="X130" s="71">
        <v>4</v>
      </c>
      <c r="Y130" s="88">
        <v>4</v>
      </c>
    </row>
    <row r="131" spans="2:25" ht="15" customHeight="1">
      <c r="B131" s="97" t="s">
        <v>211</v>
      </c>
      <c r="C131" s="20"/>
      <c r="D131" s="20"/>
      <c r="E131" s="33">
        <v>113</v>
      </c>
      <c r="F131" s="79">
        <v>87</v>
      </c>
      <c r="G131" s="82">
        <v>159</v>
      </c>
      <c r="H131" s="79">
        <v>25</v>
      </c>
      <c r="I131" s="71">
        <v>61</v>
      </c>
      <c r="J131" s="71">
        <v>2</v>
      </c>
      <c r="K131" s="71">
        <v>8</v>
      </c>
      <c r="L131" s="71">
        <f t="shared" si="3"/>
        <v>27</v>
      </c>
      <c r="M131" s="82">
        <f t="shared" si="3"/>
        <v>69</v>
      </c>
      <c r="N131" s="79">
        <v>29</v>
      </c>
      <c r="O131" s="71">
        <v>0</v>
      </c>
      <c r="P131" s="71">
        <v>22</v>
      </c>
      <c r="Q131" s="82">
        <v>51</v>
      </c>
      <c r="R131" s="79">
        <f>27+51+321-87-18</f>
        <v>294</v>
      </c>
      <c r="S131" s="82">
        <f>69+51+425-87-18</f>
        <v>440</v>
      </c>
      <c r="T131" s="79">
        <v>4</v>
      </c>
      <c r="U131" s="71">
        <v>4</v>
      </c>
      <c r="V131" s="71">
        <v>15</v>
      </c>
      <c r="W131" s="71">
        <v>15</v>
      </c>
      <c r="X131" s="71">
        <v>18</v>
      </c>
      <c r="Y131" s="88">
        <v>18</v>
      </c>
    </row>
    <row r="132" spans="2:25" ht="15" customHeight="1">
      <c r="B132" s="97" t="s">
        <v>212</v>
      </c>
      <c r="C132" s="20">
        <v>1</v>
      </c>
      <c r="D132" s="20" t="s">
        <v>47</v>
      </c>
      <c r="E132" s="33">
        <v>114</v>
      </c>
      <c r="F132" s="79">
        <v>26</v>
      </c>
      <c r="G132" s="82">
        <v>52</v>
      </c>
      <c r="H132" s="79">
        <v>9</v>
      </c>
      <c r="I132" s="71">
        <v>17</v>
      </c>
      <c r="J132" s="71">
        <v>0</v>
      </c>
      <c r="K132" s="71">
        <v>1</v>
      </c>
      <c r="L132" s="71">
        <f t="shared" si="3"/>
        <v>9</v>
      </c>
      <c r="M132" s="82">
        <f t="shared" si="3"/>
        <v>18</v>
      </c>
      <c r="N132" s="79">
        <v>0</v>
      </c>
      <c r="O132" s="71">
        <v>0</v>
      </c>
      <c r="P132" s="71">
        <v>14</v>
      </c>
      <c r="Q132" s="82">
        <v>15</v>
      </c>
      <c r="R132" s="79">
        <f>9+15+120-22-3</f>
        <v>119</v>
      </c>
      <c r="S132" s="82">
        <f>18+15+174-22-3</f>
        <v>182</v>
      </c>
      <c r="T132" s="79">
        <v>3</v>
      </c>
      <c r="U132" s="71">
        <v>3</v>
      </c>
      <c r="V132" s="71">
        <v>6</v>
      </c>
      <c r="W132" s="71">
        <v>6</v>
      </c>
      <c r="X132" s="71">
        <v>8</v>
      </c>
      <c r="Y132" s="88">
        <v>8</v>
      </c>
    </row>
    <row r="133" spans="2:25" ht="15" customHeight="1">
      <c r="B133" s="97" t="s">
        <v>213</v>
      </c>
      <c r="C133" s="20"/>
      <c r="D133" s="20"/>
      <c r="E133" s="107">
        <v>115</v>
      </c>
      <c r="F133" s="79">
        <v>24</v>
      </c>
      <c r="G133" s="82">
        <v>50</v>
      </c>
      <c r="H133" s="79">
        <v>10</v>
      </c>
      <c r="I133" s="71">
        <v>18</v>
      </c>
      <c r="J133" s="71">
        <v>0</v>
      </c>
      <c r="K133" s="71">
        <v>2</v>
      </c>
      <c r="L133" s="71">
        <f t="shared" si="3"/>
        <v>10</v>
      </c>
      <c r="M133" s="82">
        <f t="shared" si="3"/>
        <v>20</v>
      </c>
      <c r="N133" s="79">
        <v>4</v>
      </c>
      <c r="O133" s="71">
        <v>0</v>
      </c>
      <c r="P133" s="71">
        <v>11</v>
      </c>
      <c r="Q133" s="82">
        <v>15</v>
      </c>
      <c r="R133" s="79">
        <f>10+15+337-95-11</f>
        <v>256</v>
      </c>
      <c r="S133" s="82">
        <f>20+15+399-95-11</f>
        <v>328</v>
      </c>
      <c r="T133" s="79">
        <v>1</v>
      </c>
      <c r="U133" s="71">
        <v>1</v>
      </c>
      <c r="V133" s="71">
        <v>10</v>
      </c>
      <c r="W133" s="71">
        <v>10</v>
      </c>
      <c r="X133" s="71">
        <v>10</v>
      </c>
      <c r="Y133" s="88">
        <v>10</v>
      </c>
    </row>
    <row r="134" spans="2:25" ht="15" customHeight="1">
      <c r="B134" s="97" t="s">
        <v>214</v>
      </c>
      <c r="C134" s="20">
        <v>1</v>
      </c>
      <c r="D134" s="20" t="s">
        <v>47</v>
      </c>
      <c r="E134" s="33">
        <v>116</v>
      </c>
      <c r="F134" s="79">
        <v>296</v>
      </c>
      <c r="G134" s="82">
        <v>600</v>
      </c>
      <c r="H134" s="79">
        <v>91</v>
      </c>
      <c r="I134" s="71">
        <v>208</v>
      </c>
      <c r="J134" s="71">
        <v>8</v>
      </c>
      <c r="K134" s="71">
        <v>34</v>
      </c>
      <c r="L134" s="71">
        <f t="shared" si="3"/>
        <v>99</v>
      </c>
      <c r="M134" s="82">
        <f t="shared" si="3"/>
        <v>242</v>
      </c>
      <c r="N134" s="79">
        <v>33</v>
      </c>
      <c r="O134" s="71">
        <v>0</v>
      </c>
      <c r="P134" s="71">
        <v>61</v>
      </c>
      <c r="Q134" s="82">
        <v>95</v>
      </c>
      <c r="R134" s="79">
        <f>99+95+989-318-30</f>
        <v>835</v>
      </c>
      <c r="S134" s="82">
        <f>242+95+1313-318-30</f>
        <v>1302</v>
      </c>
      <c r="T134" s="79">
        <v>6</v>
      </c>
      <c r="U134" s="71">
        <v>6</v>
      </c>
      <c r="V134" s="71">
        <v>47</v>
      </c>
      <c r="W134" s="71">
        <v>47</v>
      </c>
      <c r="X134" s="71">
        <v>48</v>
      </c>
      <c r="Y134" s="88">
        <v>49</v>
      </c>
    </row>
    <row r="135" spans="2:25" ht="15" customHeight="1">
      <c r="B135" s="97" t="s">
        <v>215</v>
      </c>
      <c r="C135" s="20"/>
      <c r="D135" s="20"/>
      <c r="E135" s="33">
        <v>117</v>
      </c>
      <c r="F135" s="79">
        <v>6</v>
      </c>
      <c r="G135" s="82">
        <v>10</v>
      </c>
      <c r="H135" s="79">
        <v>1</v>
      </c>
      <c r="I135" s="71">
        <v>2</v>
      </c>
      <c r="J135" s="71">
        <v>0</v>
      </c>
      <c r="K135" s="71">
        <v>1</v>
      </c>
      <c r="L135" s="71">
        <f t="shared" si="3"/>
        <v>1</v>
      </c>
      <c r="M135" s="82">
        <f t="shared" si="3"/>
        <v>3</v>
      </c>
      <c r="N135" s="79">
        <v>1</v>
      </c>
      <c r="O135" s="71">
        <v>0</v>
      </c>
      <c r="P135" s="71">
        <v>6</v>
      </c>
      <c r="Q135" s="82">
        <v>7</v>
      </c>
      <c r="R135" s="79">
        <f>1+7+56-10-1</f>
        <v>53</v>
      </c>
      <c r="S135" s="82">
        <f>3+7+73-10-1</f>
        <v>72</v>
      </c>
      <c r="T135" s="79">
        <v>1</v>
      </c>
      <c r="U135" s="71">
        <v>3</v>
      </c>
      <c r="V135" s="71">
        <v>2</v>
      </c>
      <c r="W135" s="71">
        <v>2</v>
      </c>
      <c r="X135" s="71">
        <v>3</v>
      </c>
      <c r="Y135" s="88">
        <v>5</v>
      </c>
    </row>
    <row r="136" spans="2:25" ht="15" customHeight="1">
      <c r="B136" s="97" t="s">
        <v>216</v>
      </c>
      <c r="C136" s="20"/>
      <c r="D136" s="20"/>
      <c r="E136" s="107">
        <v>118</v>
      </c>
      <c r="F136" s="79">
        <v>31</v>
      </c>
      <c r="G136" s="82">
        <v>44</v>
      </c>
      <c r="H136" s="79">
        <v>6</v>
      </c>
      <c r="I136" s="71">
        <v>12</v>
      </c>
      <c r="J136" s="71">
        <v>0</v>
      </c>
      <c r="K136" s="71">
        <v>0</v>
      </c>
      <c r="L136" s="71">
        <f t="shared" si="3"/>
        <v>6</v>
      </c>
      <c r="M136" s="82">
        <f t="shared" si="3"/>
        <v>12</v>
      </c>
      <c r="N136" s="79">
        <v>8</v>
      </c>
      <c r="O136" s="71">
        <v>1</v>
      </c>
      <c r="P136" s="71">
        <v>10</v>
      </c>
      <c r="Q136" s="82">
        <v>19</v>
      </c>
      <c r="R136" s="79">
        <f>6+19+369-119-15</f>
        <v>260</v>
      </c>
      <c r="S136" s="82">
        <f>12+19+415-119-15</f>
        <v>312</v>
      </c>
      <c r="T136" s="79">
        <v>3</v>
      </c>
      <c r="U136" s="71">
        <v>3</v>
      </c>
      <c r="V136" s="71">
        <v>9</v>
      </c>
      <c r="W136" s="71">
        <v>9</v>
      </c>
      <c r="X136" s="71">
        <v>11</v>
      </c>
      <c r="Y136" s="88">
        <v>11</v>
      </c>
    </row>
    <row r="137" spans="2:25" ht="15" customHeight="1">
      <c r="B137" s="97" t="s">
        <v>217</v>
      </c>
      <c r="C137" s="20"/>
      <c r="D137" s="20"/>
      <c r="E137" s="33">
        <v>119</v>
      </c>
      <c r="F137" s="79">
        <v>97</v>
      </c>
      <c r="G137" s="82">
        <v>155</v>
      </c>
      <c r="H137" s="79">
        <v>24</v>
      </c>
      <c r="I137" s="71">
        <v>47</v>
      </c>
      <c r="J137" s="71">
        <v>2</v>
      </c>
      <c r="K137" s="71">
        <v>11</v>
      </c>
      <c r="L137" s="71">
        <f t="shared" si="3"/>
        <v>26</v>
      </c>
      <c r="M137" s="82">
        <f t="shared" si="3"/>
        <v>58</v>
      </c>
      <c r="N137" s="79">
        <v>20</v>
      </c>
      <c r="O137" s="71">
        <v>1</v>
      </c>
      <c r="P137" s="71">
        <v>31</v>
      </c>
      <c r="Q137" s="82">
        <v>53</v>
      </c>
      <c r="R137" s="79">
        <f>26+53+838-215-51</f>
        <v>651</v>
      </c>
      <c r="S137" s="82">
        <f>5853+925-215-51</f>
        <v>6512</v>
      </c>
      <c r="T137" s="79">
        <v>6</v>
      </c>
      <c r="U137" s="71">
        <v>6</v>
      </c>
      <c r="V137" s="71">
        <v>26</v>
      </c>
      <c r="W137" s="71">
        <v>26</v>
      </c>
      <c r="X137" s="71">
        <v>29</v>
      </c>
      <c r="Y137" s="88">
        <v>29</v>
      </c>
    </row>
    <row r="138" spans="2:25" ht="15" customHeight="1">
      <c r="B138" s="97" t="s">
        <v>218</v>
      </c>
      <c r="C138" s="20">
        <v>1</v>
      </c>
      <c r="D138" s="20" t="s">
        <v>52</v>
      </c>
      <c r="E138" s="33">
        <v>120</v>
      </c>
      <c r="F138" s="79">
        <v>3</v>
      </c>
      <c r="G138" s="82">
        <v>3</v>
      </c>
      <c r="H138" s="79">
        <v>0</v>
      </c>
      <c r="I138" s="71">
        <v>0</v>
      </c>
      <c r="J138" s="71">
        <v>0</v>
      </c>
      <c r="K138" s="71">
        <v>0</v>
      </c>
      <c r="L138" s="71">
        <f t="shared" si="3"/>
        <v>0</v>
      </c>
      <c r="M138" s="82">
        <f t="shared" si="3"/>
        <v>0</v>
      </c>
      <c r="N138" s="79">
        <v>1</v>
      </c>
      <c r="O138" s="71">
        <v>0</v>
      </c>
      <c r="P138" s="71">
        <v>8</v>
      </c>
      <c r="Q138" s="82">
        <v>9</v>
      </c>
      <c r="R138" s="79">
        <f>9+17-7-1</f>
        <v>18</v>
      </c>
      <c r="S138" s="82">
        <f>9+28-7-1</f>
        <v>29</v>
      </c>
      <c r="T138" s="79">
        <v>0</v>
      </c>
      <c r="U138" s="71">
        <v>0</v>
      </c>
      <c r="V138" s="71">
        <v>1</v>
      </c>
      <c r="W138" s="71">
        <v>1</v>
      </c>
      <c r="X138" s="71">
        <v>1</v>
      </c>
      <c r="Y138" s="88">
        <v>1</v>
      </c>
    </row>
    <row r="139" spans="2:25" ht="15" customHeight="1">
      <c r="B139" s="97" t="s">
        <v>219</v>
      </c>
      <c r="C139" s="20">
        <v>1</v>
      </c>
      <c r="D139" s="20" t="s">
        <v>47</v>
      </c>
      <c r="E139" s="107">
        <v>121</v>
      </c>
      <c r="F139" s="79">
        <v>13</v>
      </c>
      <c r="G139" s="82">
        <v>30</v>
      </c>
      <c r="H139" s="79">
        <v>4</v>
      </c>
      <c r="I139" s="71">
        <v>9</v>
      </c>
      <c r="J139" s="71">
        <v>0</v>
      </c>
      <c r="K139" s="71">
        <v>0</v>
      </c>
      <c r="L139" s="71">
        <f t="shared" si="3"/>
        <v>4</v>
      </c>
      <c r="M139" s="82">
        <f t="shared" si="3"/>
        <v>9</v>
      </c>
      <c r="N139" s="79">
        <v>2</v>
      </c>
      <c r="O139" s="71">
        <v>0</v>
      </c>
      <c r="P139" s="71">
        <v>7</v>
      </c>
      <c r="Q139" s="82">
        <v>10</v>
      </c>
      <c r="R139" s="79">
        <f>4+10+60-13-2</f>
        <v>59</v>
      </c>
      <c r="S139" s="82">
        <f>9+10+102-13-2</f>
        <v>106</v>
      </c>
      <c r="T139" s="79">
        <v>0</v>
      </c>
      <c r="U139" s="71">
        <v>0</v>
      </c>
      <c r="V139" s="71">
        <v>1</v>
      </c>
      <c r="W139" s="71">
        <v>1</v>
      </c>
      <c r="X139" s="71">
        <v>1</v>
      </c>
      <c r="Y139" s="88">
        <v>1</v>
      </c>
    </row>
    <row r="140" spans="2:25" ht="15" customHeight="1">
      <c r="B140" s="97" t="s">
        <v>220</v>
      </c>
      <c r="C140" s="20">
        <v>1</v>
      </c>
      <c r="D140" s="20" t="s">
        <v>52</v>
      </c>
      <c r="E140" s="33">
        <v>122</v>
      </c>
      <c r="F140" s="79">
        <v>16</v>
      </c>
      <c r="G140" s="82">
        <v>30</v>
      </c>
      <c r="H140" s="79">
        <v>5</v>
      </c>
      <c r="I140" s="71">
        <v>14</v>
      </c>
      <c r="J140" s="71">
        <v>0</v>
      </c>
      <c r="K140" s="71">
        <v>0</v>
      </c>
      <c r="L140" s="71">
        <f t="shared" si="3"/>
        <v>5</v>
      </c>
      <c r="M140" s="82">
        <f t="shared" si="3"/>
        <v>14</v>
      </c>
      <c r="N140" s="79">
        <v>7</v>
      </c>
      <c r="O140" s="71">
        <v>0</v>
      </c>
      <c r="P140" s="71">
        <v>3</v>
      </c>
      <c r="Q140" s="82">
        <v>10</v>
      </c>
      <c r="R140" s="79">
        <f>5+10+157-31-17</f>
        <v>124</v>
      </c>
      <c r="S140" s="82">
        <f>14+10+203-31-17</f>
        <v>179</v>
      </c>
      <c r="T140" s="79">
        <v>0</v>
      </c>
      <c r="U140" s="71">
        <v>0</v>
      </c>
      <c r="V140" s="71">
        <v>2</v>
      </c>
      <c r="W140" s="71">
        <v>2</v>
      </c>
      <c r="X140" s="71">
        <v>2</v>
      </c>
      <c r="Y140" s="88">
        <v>2</v>
      </c>
    </row>
    <row r="141" spans="2:25" ht="15" customHeight="1">
      <c r="B141" s="97" t="s">
        <v>221</v>
      </c>
      <c r="C141" s="20">
        <v>1</v>
      </c>
      <c r="D141" s="20" t="s">
        <v>47</v>
      </c>
      <c r="E141" s="33">
        <v>123</v>
      </c>
      <c r="F141" s="79">
        <v>5</v>
      </c>
      <c r="G141" s="82">
        <v>11</v>
      </c>
      <c r="H141" s="79">
        <v>1</v>
      </c>
      <c r="I141" s="71">
        <v>3</v>
      </c>
      <c r="J141" s="71">
        <v>0</v>
      </c>
      <c r="K141" s="71">
        <v>0</v>
      </c>
      <c r="L141" s="71">
        <f t="shared" si="3"/>
        <v>1</v>
      </c>
      <c r="M141" s="82">
        <f t="shared" si="3"/>
        <v>3</v>
      </c>
      <c r="N141" s="79">
        <v>0</v>
      </c>
      <c r="O141" s="71">
        <v>0</v>
      </c>
      <c r="P141" s="71">
        <v>1</v>
      </c>
      <c r="Q141" s="82">
        <v>1</v>
      </c>
      <c r="R141" s="79">
        <f>1+1+32-1-1</f>
        <v>32</v>
      </c>
      <c r="S141" s="82">
        <f>3+1+51-1-1</f>
        <v>53</v>
      </c>
      <c r="T141" s="79">
        <v>0</v>
      </c>
      <c r="U141" s="71">
        <v>0</v>
      </c>
      <c r="V141" s="71">
        <v>2</v>
      </c>
      <c r="W141" s="71">
        <v>2</v>
      </c>
      <c r="X141" s="71">
        <v>2</v>
      </c>
      <c r="Y141" s="88">
        <v>2</v>
      </c>
    </row>
    <row r="142" spans="2:25" ht="15" customHeight="1">
      <c r="B142" s="97" t="s">
        <v>222</v>
      </c>
      <c r="C142" s="20"/>
      <c r="D142" s="20"/>
      <c r="E142" s="107">
        <v>124</v>
      </c>
      <c r="F142" s="79">
        <v>185</v>
      </c>
      <c r="G142" s="82">
        <v>359</v>
      </c>
      <c r="H142" s="79">
        <v>59</v>
      </c>
      <c r="I142" s="71">
        <v>137</v>
      </c>
      <c r="J142" s="71">
        <v>2</v>
      </c>
      <c r="K142" s="71">
        <v>11</v>
      </c>
      <c r="L142" s="71">
        <f t="shared" si="3"/>
        <v>61</v>
      </c>
      <c r="M142" s="82">
        <f t="shared" si="3"/>
        <v>148</v>
      </c>
      <c r="N142" s="79">
        <v>4</v>
      </c>
      <c r="O142" s="71">
        <v>0</v>
      </c>
      <c r="P142" s="71">
        <v>42</v>
      </c>
      <c r="Q142" s="82">
        <v>46</v>
      </c>
      <c r="R142" s="79">
        <f>61+46+554-110-16</f>
        <v>535</v>
      </c>
      <c r="S142" s="82">
        <f>148+46+770-110-16</f>
        <v>838</v>
      </c>
      <c r="T142" s="79">
        <v>9</v>
      </c>
      <c r="U142" s="71">
        <v>9</v>
      </c>
      <c r="V142" s="71">
        <v>36</v>
      </c>
      <c r="W142" s="71">
        <v>36</v>
      </c>
      <c r="X142" s="71">
        <v>39</v>
      </c>
      <c r="Y142" s="88">
        <v>39</v>
      </c>
    </row>
    <row r="143" spans="2:25" ht="15" customHeight="1">
      <c r="B143" s="97" t="s">
        <v>223</v>
      </c>
      <c r="C143" s="20">
        <v>1</v>
      </c>
      <c r="D143" s="20" t="s">
        <v>52</v>
      </c>
      <c r="E143" s="33">
        <v>125</v>
      </c>
      <c r="F143" s="79">
        <v>7</v>
      </c>
      <c r="G143" s="82">
        <v>12</v>
      </c>
      <c r="H143" s="79">
        <v>2</v>
      </c>
      <c r="I143" s="71">
        <v>3</v>
      </c>
      <c r="J143" s="71">
        <v>0</v>
      </c>
      <c r="K143" s="71">
        <v>2</v>
      </c>
      <c r="L143" s="71">
        <f t="shared" si="3"/>
        <v>2</v>
      </c>
      <c r="M143" s="82">
        <f t="shared" si="3"/>
        <v>5</v>
      </c>
      <c r="N143" s="79">
        <v>3</v>
      </c>
      <c r="O143" s="71">
        <v>0</v>
      </c>
      <c r="P143" s="71">
        <v>0</v>
      </c>
      <c r="Q143" s="82">
        <v>3</v>
      </c>
      <c r="R143" s="79">
        <f>2+3+102-20-9</f>
        <v>78</v>
      </c>
      <c r="S143" s="82">
        <f>5+3+131-20-9</f>
        <v>110</v>
      </c>
      <c r="T143" s="79">
        <v>0</v>
      </c>
      <c r="U143" s="71">
        <v>0</v>
      </c>
      <c r="V143" s="71">
        <v>35</v>
      </c>
      <c r="W143" s="71">
        <v>35</v>
      </c>
      <c r="X143" s="71">
        <v>35</v>
      </c>
      <c r="Y143" s="88">
        <v>35</v>
      </c>
    </row>
    <row r="144" spans="2:25" ht="15" customHeight="1">
      <c r="B144" s="97" t="s">
        <v>224</v>
      </c>
      <c r="C144" s="20"/>
      <c r="D144" s="20"/>
      <c r="E144" s="33">
        <v>126</v>
      </c>
      <c r="F144" s="79">
        <v>257</v>
      </c>
      <c r="G144" s="82">
        <v>461</v>
      </c>
      <c r="H144" s="79">
        <v>78</v>
      </c>
      <c r="I144" s="71">
        <v>171</v>
      </c>
      <c r="J144" s="71">
        <v>4</v>
      </c>
      <c r="K144" s="71">
        <v>15</v>
      </c>
      <c r="L144" s="71">
        <f t="shared" si="3"/>
        <v>82</v>
      </c>
      <c r="M144" s="82">
        <f t="shared" si="3"/>
        <v>186</v>
      </c>
      <c r="N144" s="79">
        <v>52</v>
      </c>
      <c r="O144" s="71">
        <v>1</v>
      </c>
      <c r="P144" s="71">
        <v>75</v>
      </c>
      <c r="Q144" s="82">
        <v>129</v>
      </c>
      <c r="R144" s="79">
        <f>82+129+1300-296-25</f>
        <v>1190</v>
      </c>
      <c r="S144" s="82">
        <f>186+129+1615-296-25</f>
        <v>1609</v>
      </c>
      <c r="T144" s="79">
        <v>14</v>
      </c>
      <c r="U144" s="71">
        <v>14</v>
      </c>
      <c r="V144" s="71">
        <v>49</v>
      </c>
      <c r="W144" s="71">
        <v>49</v>
      </c>
      <c r="X144" s="71">
        <v>59</v>
      </c>
      <c r="Y144" s="88">
        <v>59</v>
      </c>
    </row>
    <row r="145" spans="2:25" ht="15" customHeight="1">
      <c r="B145" s="97" t="s">
        <v>225</v>
      </c>
      <c r="C145" s="20">
        <v>1</v>
      </c>
      <c r="D145" s="20" t="s">
        <v>52</v>
      </c>
      <c r="E145" s="107">
        <v>127</v>
      </c>
      <c r="F145" s="79">
        <v>8</v>
      </c>
      <c r="G145" s="82">
        <v>23</v>
      </c>
      <c r="H145" s="79">
        <v>1</v>
      </c>
      <c r="I145" s="71">
        <v>4</v>
      </c>
      <c r="J145" s="71">
        <v>2</v>
      </c>
      <c r="K145" s="71">
        <v>9</v>
      </c>
      <c r="L145" s="71">
        <f t="shared" si="3"/>
        <v>3</v>
      </c>
      <c r="M145" s="82">
        <f t="shared" si="3"/>
        <v>13</v>
      </c>
      <c r="N145" s="79">
        <v>0</v>
      </c>
      <c r="O145" s="71">
        <v>0</v>
      </c>
      <c r="P145" s="71">
        <v>1</v>
      </c>
      <c r="Q145" s="82">
        <v>2</v>
      </c>
      <c r="R145" s="79">
        <f>3+2+29-3-1</f>
        <v>30</v>
      </c>
      <c r="S145" s="82">
        <f>13+2+44-3-1</f>
        <v>55</v>
      </c>
      <c r="T145" s="79">
        <v>0</v>
      </c>
      <c r="U145" s="71">
        <v>0</v>
      </c>
      <c r="V145" s="71">
        <v>2</v>
      </c>
      <c r="W145" s="71">
        <v>2</v>
      </c>
      <c r="X145" s="71">
        <v>2</v>
      </c>
      <c r="Y145" s="88">
        <v>2</v>
      </c>
    </row>
    <row r="146" spans="2:25" ht="15" customHeight="1">
      <c r="B146" s="97" t="s">
        <v>226</v>
      </c>
      <c r="C146" s="20"/>
      <c r="D146" s="20"/>
      <c r="E146" s="33">
        <v>128</v>
      </c>
      <c r="F146" s="79">
        <v>44</v>
      </c>
      <c r="G146" s="82">
        <v>73</v>
      </c>
      <c r="H146" s="79">
        <v>7</v>
      </c>
      <c r="I146" s="71">
        <v>15</v>
      </c>
      <c r="J146" s="71">
        <v>0</v>
      </c>
      <c r="K146" s="71">
        <v>0</v>
      </c>
      <c r="L146" s="71">
        <f t="shared" si="3"/>
        <v>7</v>
      </c>
      <c r="M146" s="82">
        <f t="shared" si="3"/>
        <v>15</v>
      </c>
      <c r="N146" s="79">
        <v>13</v>
      </c>
      <c r="O146" s="71">
        <v>0</v>
      </c>
      <c r="P146" s="71">
        <v>22</v>
      </c>
      <c r="Q146" s="82">
        <v>36</v>
      </c>
      <c r="R146" s="79">
        <f>7+36+401-99-23</f>
        <v>322</v>
      </c>
      <c r="S146" s="82">
        <f>15+36+467-99-23</f>
        <v>396</v>
      </c>
      <c r="T146" s="79">
        <v>4</v>
      </c>
      <c r="U146" s="71">
        <v>4</v>
      </c>
      <c r="V146" s="71">
        <v>12</v>
      </c>
      <c r="W146" s="71">
        <v>12</v>
      </c>
      <c r="X146" s="71">
        <v>13</v>
      </c>
      <c r="Y146" s="88">
        <v>13</v>
      </c>
    </row>
    <row r="147" spans="2:25" ht="15" customHeight="1">
      <c r="B147" s="97" t="s">
        <v>227</v>
      </c>
      <c r="C147" s="20"/>
      <c r="D147" s="20"/>
      <c r="E147" s="33">
        <v>129</v>
      </c>
      <c r="F147" s="79">
        <v>32</v>
      </c>
      <c r="G147" s="82">
        <v>63</v>
      </c>
      <c r="H147" s="79">
        <v>13</v>
      </c>
      <c r="I147" s="71">
        <v>28</v>
      </c>
      <c r="J147" s="71">
        <v>0</v>
      </c>
      <c r="K147" s="71">
        <v>0</v>
      </c>
      <c r="L147" s="71">
        <f aca="true" t="shared" si="4" ref="L147:M178">SUM(H147,J147)</f>
        <v>13</v>
      </c>
      <c r="M147" s="82">
        <f t="shared" si="4"/>
        <v>28</v>
      </c>
      <c r="N147" s="79">
        <v>1</v>
      </c>
      <c r="O147" s="71">
        <v>1</v>
      </c>
      <c r="P147" s="71">
        <v>11</v>
      </c>
      <c r="Q147" s="82">
        <v>14</v>
      </c>
      <c r="R147" s="79">
        <f>13+14+154-34-4</f>
        <v>143</v>
      </c>
      <c r="S147" s="82">
        <f>28+14+212-34-4</f>
        <v>216</v>
      </c>
      <c r="T147" s="79">
        <v>1</v>
      </c>
      <c r="U147" s="71">
        <v>1</v>
      </c>
      <c r="V147" s="71">
        <v>5</v>
      </c>
      <c r="W147" s="71">
        <v>5</v>
      </c>
      <c r="X147" s="71">
        <v>5</v>
      </c>
      <c r="Y147" s="88">
        <v>5</v>
      </c>
    </row>
    <row r="148" spans="2:25" ht="15" customHeight="1">
      <c r="B148" s="97" t="s">
        <v>228</v>
      </c>
      <c r="C148" s="20"/>
      <c r="D148" s="20"/>
      <c r="E148" s="33">
        <v>132</v>
      </c>
      <c r="F148" s="79">
        <v>82</v>
      </c>
      <c r="G148" s="82">
        <v>138</v>
      </c>
      <c r="H148" s="79">
        <v>26</v>
      </c>
      <c r="I148" s="71">
        <v>51</v>
      </c>
      <c r="J148" s="71">
        <v>0</v>
      </c>
      <c r="K148" s="71">
        <v>5</v>
      </c>
      <c r="L148" s="71">
        <f t="shared" si="4"/>
        <v>26</v>
      </c>
      <c r="M148" s="82">
        <f t="shared" si="4"/>
        <v>56</v>
      </c>
      <c r="N148" s="79">
        <v>18</v>
      </c>
      <c r="O148" s="71">
        <v>1</v>
      </c>
      <c r="P148" s="71">
        <v>28</v>
      </c>
      <c r="Q148" s="82">
        <v>47</v>
      </c>
      <c r="R148" s="79">
        <f>26+47+471-111-21</f>
        <v>412</v>
      </c>
      <c r="S148" s="82">
        <f>56+47+580-111-21</f>
        <v>551</v>
      </c>
      <c r="T148" s="79">
        <v>6</v>
      </c>
      <c r="U148" s="71">
        <v>6</v>
      </c>
      <c r="V148" s="71">
        <v>25</v>
      </c>
      <c r="W148" s="71">
        <v>25</v>
      </c>
      <c r="X148" s="71">
        <v>29</v>
      </c>
      <c r="Y148" s="88">
        <v>29</v>
      </c>
    </row>
    <row r="149" spans="2:25" ht="15" customHeight="1">
      <c r="B149" s="97" t="s">
        <v>229</v>
      </c>
      <c r="C149" s="20"/>
      <c r="D149" s="20"/>
      <c r="E149" s="107">
        <v>130</v>
      </c>
      <c r="F149" s="79">
        <v>37</v>
      </c>
      <c r="G149" s="82">
        <v>65</v>
      </c>
      <c r="H149" s="79">
        <v>14</v>
      </c>
      <c r="I149" s="71">
        <v>29</v>
      </c>
      <c r="J149" s="71">
        <v>0</v>
      </c>
      <c r="K149" s="71">
        <v>0</v>
      </c>
      <c r="L149" s="71">
        <f t="shared" si="4"/>
        <v>14</v>
      </c>
      <c r="M149" s="82">
        <f t="shared" si="4"/>
        <v>29</v>
      </c>
      <c r="N149" s="79">
        <v>14</v>
      </c>
      <c r="O149" s="71">
        <v>1</v>
      </c>
      <c r="P149" s="71">
        <v>31</v>
      </c>
      <c r="Q149" s="82">
        <v>47</v>
      </c>
      <c r="R149" s="79">
        <f>14+47+1637-683-19</f>
        <v>996</v>
      </c>
      <c r="S149" s="82">
        <f>29+47+1701-683-19</f>
        <v>1075</v>
      </c>
      <c r="T149" s="79">
        <v>6</v>
      </c>
      <c r="U149" s="71">
        <v>6</v>
      </c>
      <c r="V149" s="71">
        <v>12</v>
      </c>
      <c r="W149" s="71">
        <v>12</v>
      </c>
      <c r="X149" s="71">
        <v>16</v>
      </c>
      <c r="Y149" s="88">
        <v>16</v>
      </c>
    </row>
    <row r="150" spans="2:25" ht="15" customHeight="1">
      <c r="B150" s="97" t="s">
        <v>230</v>
      </c>
      <c r="C150" s="20"/>
      <c r="D150" s="20"/>
      <c r="E150" s="33">
        <v>131</v>
      </c>
      <c r="F150" s="79">
        <v>289</v>
      </c>
      <c r="G150" s="82">
        <v>505</v>
      </c>
      <c r="H150" s="79">
        <v>79</v>
      </c>
      <c r="I150" s="71">
        <v>168</v>
      </c>
      <c r="J150" s="71">
        <v>4</v>
      </c>
      <c r="K150" s="71">
        <v>13</v>
      </c>
      <c r="L150" s="71">
        <f t="shared" si="4"/>
        <v>83</v>
      </c>
      <c r="M150" s="82">
        <f t="shared" si="4"/>
        <v>181</v>
      </c>
      <c r="N150" s="79">
        <v>22</v>
      </c>
      <c r="O150" s="71">
        <v>1</v>
      </c>
      <c r="P150" s="71">
        <v>66</v>
      </c>
      <c r="Q150" s="82">
        <v>90</v>
      </c>
      <c r="R150" s="79">
        <f>83+90+1369-340-53</f>
        <v>1149</v>
      </c>
      <c r="S150" s="82">
        <f>181+90+1789-340-53</f>
        <v>1667</v>
      </c>
      <c r="T150" s="79">
        <v>14</v>
      </c>
      <c r="U150" s="71">
        <v>14</v>
      </c>
      <c r="V150" s="71">
        <v>70</v>
      </c>
      <c r="W150" s="71">
        <v>70</v>
      </c>
      <c r="X150" s="71">
        <v>76</v>
      </c>
      <c r="Y150" s="88">
        <v>76</v>
      </c>
    </row>
    <row r="151" spans="2:25" ht="15" customHeight="1">
      <c r="B151" s="97" t="s">
        <v>231</v>
      </c>
      <c r="C151" s="20">
        <v>1</v>
      </c>
      <c r="D151" s="20" t="s">
        <v>47</v>
      </c>
      <c r="E151" s="107">
        <v>133</v>
      </c>
      <c r="F151" s="79">
        <v>43</v>
      </c>
      <c r="G151" s="82">
        <v>89</v>
      </c>
      <c r="H151" s="79">
        <v>18</v>
      </c>
      <c r="I151" s="71">
        <v>40</v>
      </c>
      <c r="J151" s="71">
        <v>1</v>
      </c>
      <c r="K151" s="71">
        <v>5</v>
      </c>
      <c r="L151" s="71">
        <f t="shared" si="4"/>
        <v>19</v>
      </c>
      <c r="M151" s="82">
        <f t="shared" si="4"/>
        <v>45</v>
      </c>
      <c r="N151" s="79">
        <v>5</v>
      </c>
      <c r="O151" s="71">
        <v>0</v>
      </c>
      <c r="P151" s="71">
        <v>12</v>
      </c>
      <c r="Q151" s="82">
        <v>18</v>
      </c>
      <c r="R151" s="79">
        <f>19+18+167-35-3</f>
        <v>166</v>
      </c>
      <c r="S151" s="82">
        <f>45+18+240-35-3</f>
        <v>265</v>
      </c>
      <c r="T151" s="79">
        <v>3</v>
      </c>
      <c r="U151" s="71">
        <v>3</v>
      </c>
      <c r="V151" s="71">
        <v>9</v>
      </c>
      <c r="W151" s="71">
        <v>9</v>
      </c>
      <c r="X151" s="71">
        <v>12</v>
      </c>
      <c r="Y151" s="88">
        <v>12</v>
      </c>
    </row>
    <row r="152" spans="2:25" ht="15" customHeight="1">
      <c r="B152" s="97" t="s">
        <v>232</v>
      </c>
      <c r="C152" s="20"/>
      <c r="D152" s="20"/>
      <c r="E152" s="33">
        <v>134</v>
      </c>
      <c r="F152" s="79">
        <v>141</v>
      </c>
      <c r="G152" s="82">
        <v>273</v>
      </c>
      <c r="H152" s="79">
        <v>47</v>
      </c>
      <c r="I152" s="71">
        <v>108</v>
      </c>
      <c r="J152" s="71">
        <v>4</v>
      </c>
      <c r="K152" s="71">
        <v>19</v>
      </c>
      <c r="L152" s="71">
        <f t="shared" si="4"/>
        <v>51</v>
      </c>
      <c r="M152" s="82">
        <f t="shared" si="4"/>
        <v>127</v>
      </c>
      <c r="N152" s="79">
        <v>7</v>
      </c>
      <c r="O152" s="71">
        <v>0</v>
      </c>
      <c r="P152" s="71">
        <v>32</v>
      </c>
      <c r="Q152" s="82">
        <v>39</v>
      </c>
      <c r="R152" s="79">
        <f>51+39+564-131-16</f>
        <v>507</v>
      </c>
      <c r="S152" s="82">
        <f>127+39+771-131-16</f>
        <v>790</v>
      </c>
      <c r="T152" s="79">
        <v>7</v>
      </c>
      <c r="U152" s="71">
        <v>7</v>
      </c>
      <c r="V152" s="71">
        <v>27</v>
      </c>
      <c r="W152" s="71">
        <v>27</v>
      </c>
      <c r="X152" s="71">
        <v>28</v>
      </c>
      <c r="Y152" s="88">
        <v>28</v>
      </c>
    </row>
    <row r="153" spans="2:25" ht="15" customHeight="1">
      <c r="B153" s="97" t="s">
        <v>233</v>
      </c>
      <c r="C153" s="20" t="s">
        <v>63</v>
      </c>
      <c r="D153" s="20"/>
      <c r="E153" s="33">
        <v>135</v>
      </c>
      <c r="F153" s="79">
        <v>1839</v>
      </c>
      <c r="G153" s="82">
        <v>3165</v>
      </c>
      <c r="H153" s="79">
        <v>567</v>
      </c>
      <c r="I153" s="71">
        <v>1154</v>
      </c>
      <c r="J153" s="71">
        <v>8</v>
      </c>
      <c r="K153" s="71">
        <v>28</v>
      </c>
      <c r="L153" s="71">
        <f t="shared" si="4"/>
        <v>575</v>
      </c>
      <c r="M153" s="82">
        <f t="shared" si="4"/>
        <v>1182</v>
      </c>
      <c r="N153" s="79">
        <v>411</v>
      </c>
      <c r="O153" s="71">
        <v>3</v>
      </c>
      <c r="P153" s="71">
        <v>436</v>
      </c>
      <c r="Q153" s="82">
        <v>851</v>
      </c>
      <c r="R153" s="79">
        <f>575+851+5924-1334-159</f>
        <v>5857</v>
      </c>
      <c r="S153" s="82">
        <f>1182+851+8059-1334-159</f>
        <v>8599</v>
      </c>
      <c r="T153" s="79">
        <v>155</v>
      </c>
      <c r="U153" s="71">
        <v>157</v>
      </c>
      <c r="V153" s="71">
        <v>454</v>
      </c>
      <c r="W153" s="71">
        <v>455</v>
      </c>
      <c r="X153" s="71">
        <v>541</v>
      </c>
      <c r="Y153" s="88">
        <v>543</v>
      </c>
    </row>
    <row r="154" spans="2:25" ht="15" customHeight="1">
      <c r="B154" s="97" t="s">
        <v>234</v>
      </c>
      <c r="C154" s="20">
        <v>1</v>
      </c>
      <c r="D154" s="20" t="s">
        <v>47</v>
      </c>
      <c r="E154" s="107">
        <v>136</v>
      </c>
      <c r="F154" s="79">
        <v>28</v>
      </c>
      <c r="G154" s="82">
        <v>53</v>
      </c>
      <c r="H154" s="79">
        <v>15</v>
      </c>
      <c r="I154" s="71">
        <v>25</v>
      </c>
      <c r="J154" s="71">
        <v>0</v>
      </c>
      <c r="K154" s="71">
        <v>1</v>
      </c>
      <c r="L154" s="71">
        <f t="shared" si="4"/>
        <v>15</v>
      </c>
      <c r="M154" s="82">
        <f t="shared" si="4"/>
        <v>26</v>
      </c>
      <c r="N154" s="79">
        <v>1</v>
      </c>
      <c r="O154" s="71">
        <v>0</v>
      </c>
      <c r="P154" s="71">
        <v>12</v>
      </c>
      <c r="Q154" s="82">
        <v>13</v>
      </c>
      <c r="R154" s="79">
        <f>15+13+114-16-5</f>
        <v>121</v>
      </c>
      <c r="S154" s="82">
        <f>26+13+169-16-5</f>
        <v>187</v>
      </c>
      <c r="T154" s="79">
        <v>0</v>
      </c>
      <c r="U154" s="71">
        <v>0</v>
      </c>
      <c r="V154" s="71">
        <v>3</v>
      </c>
      <c r="W154" s="71">
        <v>3</v>
      </c>
      <c r="X154" s="71">
        <v>3</v>
      </c>
      <c r="Y154" s="88">
        <v>3</v>
      </c>
    </row>
    <row r="155" spans="2:25" ht="15" customHeight="1">
      <c r="B155" s="97" t="s">
        <v>235</v>
      </c>
      <c r="C155" s="20"/>
      <c r="D155" s="20"/>
      <c r="E155" s="33">
        <v>137</v>
      </c>
      <c r="F155" s="79">
        <v>212</v>
      </c>
      <c r="G155" s="82">
        <v>369</v>
      </c>
      <c r="H155" s="79">
        <v>64</v>
      </c>
      <c r="I155" s="71">
        <v>131</v>
      </c>
      <c r="J155" s="71">
        <v>3</v>
      </c>
      <c r="K155" s="71">
        <v>14</v>
      </c>
      <c r="L155" s="71">
        <f t="shared" si="4"/>
        <v>67</v>
      </c>
      <c r="M155" s="82">
        <f t="shared" si="4"/>
        <v>145</v>
      </c>
      <c r="N155" s="79">
        <v>15</v>
      </c>
      <c r="O155" s="71">
        <v>0</v>
      </c>
      <c r="P155" s="71">
        <v>91</v>
      </c>
      <c r="Q155" s="82">
        <v>107</v>
      </c>
      <c r="R155" s="79">
        <f>67+107+979-261-49</f>
        <v>843</v>
      </c>
      <c r="S155" s="82">
        <f>145+107+1239-261-49</f>
        <v>1181</v>
      </c>
      <c r="T155" s="79">
        <v>16</v>
      </c>
      <c r="U155" s="71">
        <v>18</v>
      </c>
      <c r="V155" s="71">
        <v>46</v>
      </c>
      <c r="W155" s="71">
        <v>48</v>
      </c>
      <c r="X155" s="71">
        <v>54</v>
      </c>
      <c r="Y155" s="88">
        <v>56</v>
      </c>
    </row>
    <row r="156" spans="2:25" ht="15" customHeight="1">
      <c r="B156" s="97" t="s">
        <v>0</v>
      </c>
      <c r="C156" s="20"/>
      <c r="D156" s="20"/>
      <c r="E156" s="33">
        <v>138</v>
      </c>
      <c r="F156" s="79">
        <v>548</v>
      </c>
      <c r="G156" s="82">
        <v>1108</v>
      </c>
      <c r="H156" s="79">
        <v>211</v>
      </c>
      <c r="I156" s="71">
        <v>431</v>
      </c>
      <c r="J156" s="71">
        <v>6</v>
      </c>
      <c r="K156" s="71">
        <v>27</v>
      </c>
      <c r="L156" s="71">
        <f t="shared" si="4"/>
        <v>217</v>
      </c>
      <c r="M156" s="82">
        <f t="shared" si="4"/>
        <v>458</v>
      </c>
      <c r="N156" s="79">
        <v>39</v>
      </c>
      <c r="O156" s="71">
        <v>0</v>
      </c>
      <c r="P156" s="71">
        <v>125</v>
      </c>
      <c r="Q156" s="82">
        <v>164</v>
      </c>
      <c r="R156" s="79">
        <f>217+164+1964-368-39</f>
        <v>1938</v>
      </c>
      <c r="S156" s="82">
        <f>458+164+2786-368-39</f>
        <v>3001</v>
      </c>
      <c r="T156" s="79">
        <v>44</v>
      </c>
      <c r="U156" s="71">
        <v>51</v>
      </c>
      <c r="V156" s="71">
        <v>139</v>
      </c>
      <c r="W156" s="71">
        <v>139</v>
      </c>
      <c r="X156" s="71">
        <v>165</v>
      </c>
      <c r="Y156" s="88">
        <v>172</v>
      </c>
    </row>
    <row r="157" spans="2:25" ht="15" customHeight="1">
      <c r="B157" s="97" t="s">
        <v>1</v>
      </c>
      <c r="C157" s="20"/>
      <c r="D157" s="20"/>
      <c r="E157" s="107">
        <v>139</v>
      </c>
      <c r="F157" s="79">
        <v>59</v>
      </c>
      <c r="G157" s="82">
        <v>97</v>
      </c>
      <c r="H157" s="79">
        <v>15</v>
      </c>
      <c r="I157" s="71">
        <v>32</v>
      </c>
      <c r="J157" s="71">
        <v>1</v>
      </c>
      <c r="K157" s="71">
        <v>5</v>
      </c>
      <c r="L157" s="71">
        <f t="shared" si="4"/>
        <v>16</v>
      </c>
      <c r="M157" s="82">
        <f t="shared" si="4"/>
        <v>37</v>
      </c>
      <c r="N157" s="79">
        <v>5</v>
      </c>
      <c r="O157" s="71">
        <v>0</v>
      </c>
      <c r="P157" s="71">
        <v>19</v>
      </c>
      <c r="Q157" s="82">
        <v>25</v>
      </c>
      <c r="R157" s="79">
        <f>16+25+291-66-20</f>
        <v>246</v>
      </c>
      <c r="S157" s="82">
        <f>37+25+351-66-20</f>
        <v>327</v>
      </c>
      <c r="T157" s="79">
        <v>1</v>
      </c>
      <c r="U157" s="71">
        <v>1</v>
      </c>
      <c r="V157" s="71">
        <v>9</v>
      </c>
      <c r="W157" s="71">
        <v>9</v>
      </c>
      <c r="X157" s="71">
        <v>10</v>
      </c>
      <c r="Y157" s="88">
        <v>10</v>
      </c>
    </row>
    <row r="158" spans="2:25" ht="15" customHeight="1">
      <c r="B158" s="97" t="s">
        <v>2</v>
      </c>
      <c r="C158" s="20">
        <v>1</v>
      </c>
      <c r="D158" s="20" t="s">
        <v>52</v>
      </c>
      <c r="E158" s="33">
        <v>140</v>
      </c>
      <c r="F158" s="79">
        <v>53</v>
      </c>
      <c r="G158" s="82">
        <v>89</v>
      </c>
      <c r="H158" s="79">
        <v>14</v>
      </c>
      <c r="I158" s="71">
        <v>29</v>
      </c>
      <c r="J158" s="71">
        <v>1</v>
      </c>
      <c r="K158" s="71">
        <v>5</v>
      </c>
      <c r="L158" s="71">
        <f t="shared" si="4"/>
        <v>15</v>
      </c>
      <c r="M158" s="82">
        <f t="shared" si="4"/>
        <v>34</v>
      </c>
      <c r="N158" s="79">
        <v>0</v>
      </c>
      <c r="O158" s="71">
        <v>0</v>
      </c>
      <c r="P158" s="71">
        <v>16</v>
      </c>
      <c r="Q158" s="82">
        <v>17</v>
      </c>
      <c r="R158" s="79">
        <f>15+17+224-49-16</f>
        <v>191</v>
      </c>
      <c r="S158" s="82">
        <f>34+17+315-49-16</f>
        <v>301</v>
      </c>
      <c r="T158" s="79">
        <v>4</v>
      </c>
      <c r="U158" s="71">
        <v>4</v>
      </c>
      <c r="V158" s="71">
        <v>12</v>
      </c>
      <c r="W158" s="71">
        <v>12</v>
      </c>
      <c r="X158" s="71">
        <v>15</v>
      </c>
      <c r="Y158" s="88">
        <v>15</v>
      </c>
    </row>
    <row r="159" spans="2:25" ht="15" customHeight="1">
      <c r="B159" s="97" t="s">
        <v>3</v>
      </c>
      <c r="C159" s="20">
        <v>1</v>
      </c>
      <c r="D159" s="20" t="s">
        <v>47</v>
      </c>
      <c r="E159" s="33">
        <v>141</v>
      </c>
      <c r="F159" s="79">
        <v>113</v>
      </c>
      <c r="G159" s="82">
        <v>208</v>
      </c>
      <c r="H159" s="79">
        <v>25</v>
      </c>
      <c r="I159" s="71">
        <v>50</v>
      </c>
      <c r="J159" s="71">
        <v>2</v>
      </c>
      <c r="K159" s="71">
        <v>9</v>
      </c>
      <c r="L159" s="71">
        <f t="shared" si="4"/>
        <v>27</v>
      </c>
      <c r="M159" s="82">
        <f t="shared" si="4"/>
        <v>59</v>
      </c>
      <c r="N159" s="79">
        <v>10</v>
      </c>
      <c r="O159" s="71">
        <v>0</v>
      </c>
      <c r="P159" s="71">
        <v>25</v>
      </c>
      <c r="Q159" s="82">
        <v>35</v>
      </c>
      <c r="R159" s="79">
        <f>27+35+368-95-16</f>
        <v>319</v>
      </c>
      <c r="S159" s="82">
        <f>59+35+507-95-16</f>
        <v>490</v>
      </c>
      <c r="T159" s="79">
        <v>3</v>
      </c>
      <c r="U159" s="71">
        <v>3</v>
      </c>
      <c r="V159" s="71">
        <v>15</v>
      </c>
      <c r="W159" s="71">
        <v>15</v>
      </c>
      <c r="X159" s="71">
        <v>16</v>
      </c>
      <c r="Y159" s="88">
        <v>16</v>
      </c>
    </row>
    <row r="160" spans="2:25" ht="15" customHeight="1">
      <c r="B160" s="97" t="s">
        <v>4</v>
      </c>
      <c r="C160" s="20"/>
      <c r="D160" s="20"/>
      <c r="E160" s="107">
        <v>142</v>
      </c>
      <c r="F160" s="79">
        <v>22</v>
      </c>
      <c r="G160" s="82">
        <v>36</v>
      </c>
      <c r="H160" s="79">
        <v>11</v>
      </c>
      <c r="I160" s="71">
        <v>19</v>
      </c>
      <c r="J160" s="71">
        <v>0</v>
      </c>
      <c r="K160" s="71">
        <v>0</v>
      </c>
      <c r="L160" s="71">
        <f t="shared" si="4"/>
        <v>11</v>
      </c>
      <c r="M160" s="82">
        <f t="shared" si="4"/>
        <v>19</v>
      </c>
      <c r="N160" s="79">
        <v>3</v>
      </c>
      <c r="O160" s="71">
        <v>0</v>
      </c>
      <c r="P160" s="71">
        <v>14</v>
      </c>
      <c r="Q160" s="82">
        <v>18</v>
      </c>
      <c r="R160" s="79">
        <f>11+18+224-50-14</f>
        <v>189</v>
      </c>
      <c r="S160" s="82">
        <f>19+18+269-50-14</f>
        <v>242</v>
      </c>
      <c r="T160" s="79">
        <v>2</v>
      </c>
      <c r="U160" s="71">
        <v>2</v>
      </c>
      <c r="V160" s="71">
        <v>7</v>
      </c>
      <c r="W160" s="71">
        <v>7</v>
      </c>
      <c r="X160" s="71">
        <v>8</v>
      </c>
      <c r="Y160" s="88">
        <v>8</v>
      </c>
    </row>
    <row r="161" spans="2:25" ht="15" customHeight="1">
      <c r="B161" s="97" t="s">
        <v>5</v>
      </c>
      <c r="C161" s="20"/>
      <c r="D161" s="20"/>
      <c r="E161" s="33">
        <v>143</v>
      </c>
      <c r="F161" s="79">
        <v>682</v>
      </c>
      <c r="G161" s="82">
        <v>1197</v>
      </c>
      <c r="H161" s="79">
        <v>202</v>
      </c>
      <c r="I161" s="71">
        <v>461</v>
      </c>
      <c r="J161" s="71">
        <v>7</v>
      </c>
      <c r="K161" s="71">
        <v>28</v>
      </c>
      <c r="L161" s="71">
        <f t="shared" si="4"/>
        <v>209</v>
      </c>
      <c r="M161" s="82">
        <f t="shared" si="4"/>
        <v>489</v>
      </c>
      <c r="N161" s="79">
        <v>43</v>
      </c>
      <c r="O161" s="71">
        <v>3</v>
      </c>
      <c r="P161" s="71">
        <v>251</v>
      </c>
      <c r="Q161" s="82">
        <v>298</v>
      </c>
      <c r="R161" s="79">
        <f>209+298+2703-780-151</f>
        <v>2279</v>
      </c>
      <c r="S161" s="82">
        <f>489+298+3501-780-151</f>
        <v>3357</v>
      </c>
      <c r="T161" s="79">
        <v>23</v>
      </c>
      <c r="U161" s="71">
        <v>24</v>
      </c>
      <c r="V161" s="71">
        <v>152</v>
      </c>
      <c r="W161" s="71">
        <v>152</v>
      </c>
      <c r="X161" s="71">
        <v>163</v>
      </c>
      <c r="Y161" s="88">
        <v>164</v>
      </c>
    </row>
    <row r="162" spans="2:25" ht="15" customHeight="1">
      <c r="B162" s="97" t="s">
        <v>6</v>
      </c>
      <c r="C162" s="20"/>
      <c r="D162" s="20"/>
      <c r="E162" s="33">
        <v>144</v>
      </c>
      <c r="F162" s="79">
        <v>104</v>
      </c>
      <c r="G162" s="82">
        <v>162</v>
      </c>
      <c r="H162" s="79">
        <v>26</v>
      </c>
      <c r="I162" s="71">
        <v>50</v>
      </c>
      <c r="J162" s="71">
        <v>0</v>
      </c>
      <c r="K162" s="71">
        <v>0</v>
      </c>
      <c r="L162" s="71">
        <f t="shared" si="4"/>
        <v>26</v>
      </c>
      <c r="M162" s="82">
        <f t="shared" si="4"/>
        <v>50</v>
      </c>
      <c r="N162" s="79">
        <v>30</v>
      </c>
      <c r="O162" s="71">
        <v>0</v>
      </c>
      <c r="P162" s="71">
        <v>57</v>
      </c>
      <c r="Q162" s="82">
        <v>87</v>
      </c>
      <c r="R162" s="79">
        <f>26+87+947-240-47</f>
        <v>773</v>
      </c>
      <c r="S162" s="82">
        <f>50+87+1117-240-47</f>
        <v>967</v>
      </c>
      <c r="T162" s="79">
        <v>12</v>
      </c>
      <c r="U162" s="71">
        <v>12</v>
      </c>
      <c r="V162" s="71">
        <v>26</v>
      </c>
      <c r="W162" s="71">
        <v>26</v>
      </c>
      <c r="X162" s="71">
        <v>33</v>
      </c>
      <c r="Y162" s="88">
        <v>33</v>
      </c>
    </row>
    <row r="163" spans="2:25" ht="15" customHeight="1">
      <c r="B163" s="97" t="s">
        <v>7</v>
      </c>
      <c r="C163" s="20">
        <v>1</v>
      </c>
      <c r="D163" s="20" t="s">
        <v>47</v>
      </c>
      <c r="E163" s="107">
        <v>145</v>
      </c>
      <c r="F163" s="79">
        <v>2</v>
      </c>
      <c r="G163" s="82">
        <v>5</v>
      </c>
      <c r="H163" s="79">
        <v>0</v>
      </c>
      <c r="I163" s="71">
        <v>4</v>
      </c>
      <c r="J163" s="71">
        <v>0</v>
      </c>
      <c r="K163" s="71">
        <v>0</v>
      </c>
      <c r="L163" s="71">
        <f t="shared" si="4"/>
        <v>0</v>
      </c>
      <c r="M163" s="82">
        <f t="shared" si="4"/>
        <v>4</v>
      </c>
      <c r="N163" s="79">
        <v>1</v>
      </c>
      <c r="O163" s="71">
        <v>0</v>
      </c>
      <c r="P163" s="71">
        <v>0</v>
      </c>
      <c r="Q163" s="82">
        <v>1</v>
      </c>
      <c r="R163" s="79">
        <f>1+8-1</f>
        <v>8</v>
      </c>
      <c r="S163" s="82">
        <f>4+1+15-1</f>
        <v>19</v>
      </c>
      <c r="T163" s="79">
        <v>0</v>
      </c>
      <c r="U163" s="71">
        <v>0</v>
      </c>
      <c r="V163" s="71">
        <v>0</v>
      </c>
      <c r="W163" s="71">
        <v>0</v>
      </c>
      <c r="X163" s="71">
        <v>0</v>
      </c>
      <c r="Y163" s="88">
        <v>0</v>
      </c>
    </row>
    <row r="164" spans="2:25" ht="15" customHeight="1">
      <c r="B164" s="97" t="s">
        <v>8</v>
      </c>
      <c r="C164" s="20"/>
      <c r="D164" s="20"/>
      <c r="E164" s="33">
        <v>146</v>
      </c>
      <c r="F164" s="79">
        <v>549</v>
      </c>
      <c r="G164" s="82">
        <v>1123</v>
      </c>
      <c r="H164" s="79">
        <v>191</v>
      </c>
      <c r="I164" s="71">
        <v>453</v>
      </c>
      <c r="J164" s="71">
        <v>14</v>
      </c>
      <c r="K164" s="71">
        <v>56</v>
      </c>
      <c r="L164" s="71">
        <f t="shared" si="4"/>
        <v>205</v>
      </c>
      <c r="M164" s="82">
        <f t="shared" si="4"/>
        <v>509</v>
      </c>
      <c r="N164" s="79">
        <v>38</v>
      </c>
      <c r="O164" s="71">
        <v>5</v>
      </c>
      <c r="P164" s="71">
        <v>189</v>
      </c>
      <c r="Q164" s="82">
        <v>233</v>
      </c>
      <c r="R164" s="79">
        <f>205+233+1642-410-90</f>
        <v>1580</v>
      </c>
      <c r="S164" s="82">
        <f>509+233+2280-410-90</f>
        <v>2522</v>
      </c>
      <c r="T164" s="79">
        <v>17</v>
      </c>
      <c r="U164" s="71">
        <v>17</v>
      </c>
      <c r="V164" s="71">
        <v>85</v>
      </c>
      <c r="W164" s="71">
        <v>85</v>
      </c>
      <c r="X164" s="71">
        <v>92</v>
      </c>
      <c r="Y164" s="88">
        <v>92</v>
      </c>
    </row>
    <row r="165" spans="2:25" ht="15" customHeight="1">
      <c r="B165" s="97" t="s">
        <v>9</v>
      </c>
      <c r="C165" s="20">
        <v>1</v>
      </c>
      <c r="D165" s="20" t="s">
        <v>47</v>
      </c>
      <c r="E165" s="33">
        <v>147</v>
      </c>
      <c r="F165" s="79">
        <v>29</v>
      </c>
      <c r="G165" s="82">
        <v>50</v>
      </c>
      <c r="H165" s="79">
        <v>7</v>
      </c>
      <c r="I165" s="71">
        <v>17</v>
      </c>
      <c r="J165" s="71">
        <v>0</v>
      </c>
      <c r="K165" s="71">
        <v>0</v>
      </c>
      <c r="L165" s="71">
        <f t="shared" si="4"/>
        <v>7</v>
      </c>
      <c r="M165" s="82">
        <f t="shared" si="4"/>
        <v>17</v>
      </c>
      <c r="N165" s="79">
        <v>2</v>
      </c>
      <c r="O165" s="71">
        <v>0</v>
      </c>
      <c r="P165" s="71">
        <v>7</v>
      </c>
      <c r="Q165" s="82">
        <v>10</v>
      </c>
      <c r="R165" s="79">
        <f>7+10+115-25-3</f>
        <v>104</v>
      </c>
      <c r="S165" s="82">
        <f>17+10+163-25-3</f>
        <v>162</v>
      </c>
      <c r="T165" s="79">
        <v>0</v>
      </c>
      <c r="U165" s="71">
        <v>0</v>
      </c>
      <c r="V165" s="71">
        <v>4</v>
      </c>
      <c r="W165" s="71">
        <v>4</v>
      </c>
      <c r="X165" s="71">
        <v>4</v>
      </c>
      <c r="Y165" s="88">
        <v>4</v>
      </c>
    </row>
    <row r="166" spans="2:25" ht="15" customHeight="1">
      <c r="B166" s="97" t="s">
        <v>10</v>
      </c>
      <c r="C166" s="20"/>
      <c r="D166" s="20"/>
      <c r="E166" s="107">
        <v>148</v>
      </c>
      <c r="F166" s="79">
        <v>376</v>
      </c>
      <c r="G166" s="82">
        <v>688</v>
      </c>
      <c r="H166" s="79">
        <v>113</v>
      </c>
      <c r="I166" s="71">
        <v>239</v>
      </c>
      <c r="J166" s="71">
        <v>4</v>
      </c>
      <c r="K166" s="71">
        <v>19</v>
      </c>
      <c r="L166" s="71">
        <f t="shared" si="4"/>
        <v>117</v>
      </c>
      <c r="M166" s="82">
        <f t="shared" si="4"/>
        <v>258</v>
      </c>
      <c r="N166" s="79">
        <v>79</v>
      </c>
      <c r="O166" s="71">
        <v>1</v>
      </c>
      <c r="P166" s="71">
        <v>117</v>
      </c>
      <c r="Q166" s="82">
        <v>197</v>
      </c>
      <c r="R166" s="79">
        <f>117+197+2005-489-153</f>
        <v>1677</v>
      </c>
      <c r="S166" s="82">
        <f>258+197+2491-489-153</f>
        <v>2304</v>
      </c>
      <c r="T166" s="79">
        <v>19</v>
      </c>
      <c r="U166" s="71">
        <v>19</v>
      </c>
      <c r="V166" s="71">
        <v>86</v>
      </c>
      <c r="W166" s="71">
        <v>86</v>
      </c>
      <c r="X166" s="71">
        <v>93</v>
      </c>
      <c r="Y166" s="88">
        <v>93</v>
      </c>
    </row>
    <row r="167" spans="2:25" ht="15" customHeight="1">
      <c r="B167" s="97" t="s">
        <v>11</v>
      </c>
      <c r="C167" s="20">
        <v>1</v>
      </c>
      <c r="D167" s="20" t="s">
        <v>52</v>
      </c>
      <c r="E167" s="33">
        <v>149</v>
      </c>
      <c r="F167" s="79">
        <v>1</v>
      </c>
      <c r="G167" s="82">
        <v>4</v>
      </c>
      <c r="H167" s="79">
        <v>1</v>
      </c>
      <c r="I167" s="71">
        <v>3</v>
      </c>
      <c r="J167" s="71">
        <v>0</v>
      </c>
      <c r="K167" s="71">
        <v>0</v>
      </c>
      <c r="L167" s="71">
        <f t="shared" si="4"/>
        <v>1</v>
      </c>
      <c r="M167" s="82">
        <f t="shared" si="4"/>
        <v>3</v>
      </c>
      <c r="N167" s="79">
        <v>0</v>
      </c>
      <c r="O167" s="71">
        <v>0</v>
      </c>
      <c r="P167" s="71">
        <v>0</v>
      </c>
      <c r="Q167" s="82">
        <v>0</v>
      </c>
      <c r="R167" s="79">
        <f>1+10-1</f>
        <v>10</v>
      </c>
      <c r="S167" s="82">
        <f>3+14-1</f>
        <v>16</v>
      </c>
      <c r="T167" s="79">
        <v>0</v>
      </c>
      <c r="U167" s="71">
        <v>0</v>
      </c>
      <c r="V167" s="71">
        <v>0</v>
      </c>
      <c r="W167" s="71">
        <v>0</v>
      </c>
      <c r="X167" s="71">
        <v>0</v>
      </c>
      <c r="Y167" s="88">
        <v>0</v>
      </c>
    </row>
    <row r="168" spans="2:25" ht="15" customHeight="1">
      <c r="B168" s="97" t="s">
        <v>12</v>
      </c>
      <c r="C168" s="20">
        <v>1</v>
      </c>
      <c r="D168" s="20" t="s">
        <v>52</v>
      </c>
      <c r="E168" s="33">
        <v>150</v>
      </c>
      <c r="F168" s="79">
        <v>12</v>
      </c>
      <c r="G168" s="82">
        <v>23</v>
      </c>
      <c r="H168" s="79">
        <v>4</v>
      </c>
      <c r="I168" s="71">
        <v>7</v>
      </c>
      <c r="J168" s="71">
        <v>0</v>
      </c>
      <c r="K168" s="71">
        <v>0</v>
      </c>
      <c r="L168" s="71">
        <f t="shared" si="4"/>
        <v>4</v>
      </c>
      <c r="M168" s="82">
        <f t="shared" si="4"/>
        <v>7</v>
      </c>
      <c r="N168" s="79">
        <v>6</v>
      </c>
      <c r="O168" s="71">
        <v>0</v>
      </c>
      <c r="P168" s="71">
        <v>6</v>
      </c>
      <c r="Q168" s="82">
        <v>12</v>
      </c>
      <c r="R168" s="79">
        <f>4+12+94-13-1</f>
        <v>96</v>
      </c>
      <c r="S168" s="82">
        <f>7+12+123-13-1</f>
        <v>128</v>
      </c>
      <c r="T168" s="79">
        <v>0</v>
      </c>
      <c r="U168" s="71">
        <v>0</v>
      </c>
      <c r="V168" s="71">
        <v>4</v>
      </c>
      <c r="W168" s="71">
        <v>4</v>
      </c>
      <c r="X168" s="71">
        <v>4</v>
      </c>
      <c r="Y168" s="88">
        <v>4</v>
      </c>
    </row>
    <row r="169" spans="2:25" ht="15" customHeight="1">
      <c r="B169" s="97" t="s">
        <v>13</v>
      </c>
      <c r="C169" s="20" t="s">
        <v>63</v>
      </c>
      <c r="D169" s="20"/>
      <c r="E169" s="107">
        <v>151</v>
      </c>
      <c r="F169" s="79">
        <v>6005</v>
      </c>
      <c r="G169" s="82">
        <v>13058</v>
      </c>
      <c r="H169" s="79">
        <v>1975</v>
      </c>
      <c r="I169" s="71">
        <v>4707</v>
      </c>
      <c r="J169" s="71">
        <v>117</v>
      </c>
      <c r="K169" s="71">
        <v>477</v>
      </c>
      <c r="L169" s="71">
        <f t="shared" si="4"/>
        <v>2092</v>
      </c>
      <c r="M169" s="82">
        <f t="shared" si="4"/>
        <v>5184</v>
      </c>
      <c r="N169" s="79">
        <v>438</v>
      </c>
      <c r="O169" s="71">
        <v>3</v>
      </c>
      <c r="P169" s="71">
        <v>1297</v>
      </c>
      <c r="Q169" s="82">
        <v>1739</v>
      </c>
      <c r="R169" s="79">
        <f>2092+1739+12278-2724-270</f>
        <v>13115</v>
      </c>
      <c r="S169" s="82">
        <f>5184+1739+18851-2724-270</f>
        <v>22780</v>
      </c>
      <c r="T169" s="79">
        <v>264</v>
      </c>
      <c r="U169" s="71">
        <v>271</v>
      </c>
      <c r="V169" s="71">
        <v>1061</v>
      </c>
      <c r="W169" s="71">
        <v>1061</v>
      </c>
      <c r="X169" s="71">
        <v>1226</v>
      </c>
      <c r="Y169" s="88">
        <v>1231</v>
      </c>
    </row>
    <row r="170" spans="2:25" ht="15" customHeight="1">
      <c r="B170" s="97" t="s">
        <v>14</v>
      </c>
      <c r="C170" s="20"/>
      <c r="D170" s="20"/>
      <c r="E170" s="33">
        <v>152</v>
      </c>
      <c r="F170" s="79">
        <v>110</v>
      </c>
      <c r="G170" s="82">
        <v>180</v>
      </c>
      <c r="H170" s="79">
        <v>36</v>
      </c>
      <c r="I170" s="71">
        <v>68</v>
      </c>
      <c r="J170" s="71">
        <v>1</v>
      </c>
      <c r="K170" s="71">
        <v>4</v>
      </c>
      <c r="L170" s="71">
        <f t="shared" si="4"/>
        <v>37</v>
      </c>
      <c r="M170" s="82">
        <f t="shared" si="4"/>
        <v>72</v>
      </c>
      <c r="N170" s="79">
        <v>14</v>
      </c>
      <c r="O170" s="71">
        <v>1</v>
      </c>
      <c r="P170" s="71">
        <v>49</v>
      </c>
      <c r="Q170" s="82">
        <v>65</v>
      </c>
      <c r="R170" s="79">
        <f>37+65+1016-294-29</f>
        <v>795</v>
      </c>
      <c r="S170" s="82">
        <f>72+65+1165-294-29</f>
        <v>979</v>
      </c>
      <c r="T170" s="79">
        <v>7</v>
      </c>
      <c r="U170" s="71">
        <v>7</v>
      </c>
      <c r="V170" s="71">
        <v>22</v>
      </c>
      <c r="W170" s="71">
        <v>22</v>
      </c>
      <c r="X170" s="71">
        <v>28</v>
      </c>
      <c r="Y170" s="88">
        <v>28</v>
      </c>
    </row>
    <row r="171" spans="2:25" ht="15" customHeight="1">
      <c r="B171" s="97" t="s">
        <v>15</v>
      </c>
      <c r="C171" s="20"/>
      <c r="D171" s="20"/>
      <c r="E171" s="33">
        <v>153</v>
      </c>
      <c r="F171" s="79">
        <v>133</v>
      </c>
      <c r="G171" s="82">
        <v>221</v>
      </c>
      <c r="H171" s="79">
        <v>41</v>
      </c>
      <c r="I171" s="71">
        <v>81</v>
      </c>
      <c r="J171" s="71">
        <v>2</v>
      </c>
      <c r="K171" s="71">
        <v>12</v>
      </c>
      <c r="L171" s="71">
        <f t="shared" si="4"/>
        <v>43</v>
      </c>
      <c r="M171" s="82">
        <f t="shared" si="4"/>
        <v>93</v>
      </c>
      <c r="N171" s="79">
        <v>29</v>
      </c>
      <c r="O171" s="71">
        <v>1</v>
      </c>
      <c r="P171" s="71">
        <v>80</v>
      </c>
      <c r="Q171" s="82">
        <v>111</v>
      </c>
      <c r="R171" s="79">
        <f>43+111+745-216-36</f>
        <v>647</v>
      </c>
      <c r="S171" s="82">
        <f>93+111+936-216-36</f>
        <v>888</v>
      </c>
      <c r="T171" s="79">
        <v>9</v>
      </c>
      <c r="U171" s="71">
        <v>9</v>
      </c>
      <c r="V171" s="71">
        <v>25</v>
      </c>
      <c r="W171" s="71">
        <v>25</v>
      </c>
      <c r="X171" s="71">
        <v>32</v>
      </c>
      <c r="Y171" s="88">
        <v>32</v>
      </c>
    </row>
    <row r="172" spans="2:25" ht="15" customHeight="1">
      <c r="B172" s="97" t="s">
        <v>16</v>
      </c>
      <c r="C172" s="20" t="s">
        <v>63</v>
      </c>
      <c r="D172" s="20"/>
      <c r="E172" s="33">
        <v>155</v>
      </c>
      <c r="F172" s="79">
        <v>903</v>
      </c>
      <c r="G172" s="82">
        <v>1588</v>
      </c>
      <c r="H172" s="79">
        <v>174</v>
      </c>
      <c r="I172" s="71">
        <v>383</v>
      </c>
      <c r="J172" s="71">
        <v>11</v>
      </c>
      <c r="K172" s="71">
        <v>47</v>
      </c>
      <c r="L172" s="71">
        <f t="shared" si="4"/>
        <v>185</v>
      </c>
      <c r="M172" s="82">
        <f t="shared" si="4"/>
        <v>430</v>
      </c>
      <c r="N172" s="79">
        <v>444</v>
      </c>
      <c r="O172" s="71">
        <v>2</v>
      </c>
      <c r="P172" s="71">
        <v>292</v>
      </c>
      <c r="Q172" s="82">
        <v>739</v>
      </c>
      <c r="R172" s="79">
        <f>185+739+3092-937-114</f>
        <v>2965</v>
      </c>
      <c r="S172" s="82">
        <f>430+739+3865-937-114</f>
        <v>3983</v>
      </c>
      <c r="T172" s="79">
        <v>47</v>
      </c>
      <c r="U172" s="71">
        <v>47</v>
      </c>
      <c r="V172" s="71">
        <v>162</v>
      </c>
      <c r="W172" s="71">
        <v>162</v>
      </c>
      <c r="X172" s="71">
        <v>185</v>
      </c>
      <c r="Y172" s="88">
        <v>185</v>
      </c>
    </row>
    <row r="173" spans="2:25" ht="15" customHeight="1">
      <c r="B173" s="97" t="s">
        <v>17</v>
      </c>
      <c r="C173" s="20" t="s">
        <v>63</v>
      </c>
      <c r="D173" s="20"/>
      <c r="E173" s="33">
        <v>156</v>
      </c>
      <c r="F173" s="79">
        <v>1761</v>
      </c>
      <c r="G173" s="82">
        <v>3505</v>
      </c>
      <c r="H173" s="79">
        <v>638</v>
      </c>
      <c r="I173" s="71">
        <v>1485</v>
      </c>
      <c r="J173" s="71">
        <v>16</v>
      </c>
      <c r="K173" s="71">
        <v>69</v>
      </c>
      <c r="L173" s="71">
        <f t="shared" si="4"/>
        <v>654</v>
      </c>
      <c r="M173" s="82">
        <f t="shared" si="4"/>
        <v>1554</v>
      </c>
      <c r="N173" s="79">
        <v>99</v>
      </c>
      <c r="O173" s="71">
        <v>3</v>
      </c>
      <c r="P173" s="71">
        <v>327</v>
      </c>
      <c r="Q173" s="82">
        <v>430</v>
      </c>
      <c r="R173" s="79">
        <f>654+430+3798-676-68</f>
        <v>4138</v>
      </c>
      <c r="S173" s="82">
        <f>1554+430+5586-676-68</f>
        <v>6826</v>
      </c>
      <c r="T173" s="79">
        <v>85</v>
      </c>
      <c r="U173" s="71">
        <v>85</v>
      </c>
      <c r="V173" s="71">
        <v>361</v>
      </c>
      <c r="W173" s="71">
        <v>361</v>
      </c>
      <c r="X173" s="71">
        <v>404</v>
      </c>
      <c r="Y173" s="88">
        <v>405</v>
      </c>
    </row>
    <row r="174" spans="2:25" ht="15" customHeight="1">
      <c r="B174" s="97" t="s">
        <v>18</v>
      </c>
      <c r="C174" s="20">
        <v>1</v>
      </c>
      <c r="D174" s="20" t="s">
        <v>75</v>
      </c>
      <c r="E174" s="107">
        <v>154</v>
      </c>
      <c r="F174" s="79">
        <v>81</v>
      </c>
      <c r="G174" s="82">
        <v>115</v>
      </c>
      <c r="H174" s="79">
        <v>11</v>
      </c>
      <c r="I174" s="71">
        <v>22</v>
      </c>
      <c r="J174" s="71">
        <v>0</v>
      </c>
      <c r="K174" s="71">
        <v>1</v>
      </c>
      <c r="L174" s="71">
        <f t="shared" si="4"/>
        <v>11</v>
      </c>
      <c r="M174" s="82">
        <f t="shared" si="4"/>
        <v>23</v>
      </c>
      <c r="N174" s="79">
        <v>17</v>
      </c>
      <c r="O174" s="71">
        <v>0</v>
      </c>
      <c r="P174" s="71">
        <v>35</v>
      </c>
      <c r="Q174" s="82">
        <v>52</v>
      </c>
      <c r="R174" s="79">
        <f>11+52+230-65-10</f>
        <v>218</v>
      </c>
      <c r="S174" s="82">
        <f>23+52+302-65-10</f>
        <v>302</v>
      </c>
      <c r="T174" s="79">
        <v>4</v>
      </c>
      <c r="U174" s="71">
        <v>4</v>
      </c>
      <c r="V174" s="71">
        <v>19</v>
      </c>
      <c r="W174" s="71">
        <v>19</v>
      </c>
      <c r="X174" s="71">
        <v>21</v>
      </c>
      <c r="Y174" s="88">
        <v>21</v>
      </c>
    </row>
    <row r="175" spans="2:25" ht="15" customHeight="1">
      <c r="B175" s="97" t="s">
        <v>19</v>
      </c>
      <c r="C175" s="20"/>
      <c r="D175" s="20"/>
      <c r="E175" s="107">
        <v>157</v>
      </c>
      <c r="F175" s="79">
        <v>8</v>
      </c>
      <c r="G175" s="82">
        <v>9</v>
      </c>
      <c r="H175" s="79">
        <v>3</v>
      </c>
      <c r="I175" s="71">
        <v>6</v>
      </c>
      <c r="J175" s="71">
        <v>0</v>
      </c>
      <c r="K175" s="71">
        <v>0</v>
      </c>
      <c r="L175" s="71">
        <f t="shared" si="4"/>
        <v>3</v>
      </c>
      <c r="M175" s="82">
        <f t="shared" si="4"/>
        <v>6</v>
      </c>
      <c r="N175" s="79">
        <v>3</v>
      </c>
      <c r="O175" s="71">
        <v>0</v>
      </c>
      <c r="P175" s="71">
        <v>9</v>
      </c>
      <c r="Q175" s="82">
        <v>12</v>
      </c>
      <c r="R175" s="79">
        <f>3+12+40-14-1</f>
        <v>40</v>
      </c>
      <c r="S175" s="82">
        <f>6+12+52-14-1</f>
        <v>55</v>
      </c>
      <c r="T175" s="79">
        <v>0</v>
      </c>
      <c r="U175" s="71">
        <v>0</v>
      </c>
      <c r="V175" s="71">
        <v>3</v>
      </c>
      <c r="W175" s="71">
        <v>3</v>
      </c>
      <c r="X175" s="71">
        <v>3</v>
      </c>
      <c r="Y175" s="88">
        <v>3</v>
      </c>
    </row>
    <row r="176" spans="2:25" ht="15" customHeight="1">
      <c r="B176" s="97" t="s">
        <v>20</v>
      </c>
      <c r="C176" s="20"/>
      <c r="D176" s="20"/>
      <c r="E176" s="33">
        <v>158</v>
      </c>
      <c r="F176" s="79">
        <v>65</v>
      </c>
      <c r="G176" s="82">
        <v>94</v>
      </c>
      <c r="H176" s="79">
        <v>14</v>
      </c>
      <c r="I176" s="71">
        <v>28</v>
      </c>
      <c r="J176" s="71">
        <v>0</v>
      </c>
      <c r="K176" s="71">
        <v>0</v>
      </c>
      <c r="L176" s="71">
        <f t="shared" si="4"/>
        <v>14</v>
      </c>
      <c r="M176" s="82">
        <f t="shared" si="4"/>
        <v>28</v>
      </c>
      <c r="N176" s="79">
        <v>11</v>
      </c>
      <c r="O176" s="71">
        <v>0</v>
      </c>
      <c r="P176" s="71">
        <v>49</v>
      </c>
      <c r="Q176" s="82">
        <v>60</v>
      </c>
      <c r="R176" s="79">
        <f>14+60+356-117-24</f>
        <v>289</v>
      </c>
      <c r="S176" s="82">
        <f>28+60+404-117-24</f>
        <v>351</v>
      </c>
      <c r="T176" s="79">
        <v>6</v>
      </c>
      <c r="U176" s="71">
        <v>6</v>
      </c>
      <c r="V176" s="71">
        <v>26</v>
      </c>
      <c r="W176" s="71">
        <v>26</v>
      </c>
      <c r="X176" s="71">
        <v>29</v>
      </c>
      <c r="Y176" s="88">
        <v>29</v>
      </c>
    </row>
    <row r="177" spans="2:25" ht="15" customHeight="1">
      <c r="B177" s="97" t="s">
        <v>21</v>
      </c>
      <c r="C177" s="20"/>
      <c r="D177" s="20"/>
      <c r="E177" s="33">
        <v>159</v>
      </c>
      <c r="F177" s="79">
        <v>244</v>
      </c>
      <c r="G177" s="82">
        <v>240</v>
      </c>
      <c r="H177" s="79">
        <v>46</v>
      </c>
      <c r="I177" s="71">
        <v>95</v>
      </c>
      <c r="J177" s="71">
        <v>1</v>
      </c>
      <c r="K177" s="71">
        <v>6</v>
      </c>
      <c r="L177" s="71">
        <f t="shared" si="4"/>
        <v>47</v>
      </c>
      <c r="M177" s="82">
        <f t="shared" si="4"/>
        <v>101</v>
      </c>
      <c r="N177" s="79">
        <v>31</v>
      </c>
      <c r="O177" s="71">
        <v>1</v>
      </c>
      <c r="P177" s="71">
        <v>73</v>
      </c>
      <c r="Q177" s="82">
        <v>105</v>
      </c>
      <c r="R177" s="79">
        <f>47+105+1048-309-64</f>
        <v>827</v>
      </c>
      <c r="S177" s="82">
        <f>101+105+1236-309-64</f>
        <v>1069</v>
      </c>
      <c r="T177" s="79">
        <v>12</v>
      </c>
      <c r="U177" s="71">
        <v>12</v>
      </c>
      <c r="V177" s="71">
        <v>47</v>
      </c>
      <c r="W177" s="71">
        <v>47</v>
      </c>
      <c r="X177" s="71">
        <v>56</v>
      </c>
      <c r="Y177" s="88">
        <v>56</v>
      </c>
    </row>
    <row r="178" spans="2:25" ht="15" customHeight="1">
      <c r="B178" s="97" t="s">
        <v>22</v>
      </c>
      <c r="C178" s="20">
        <v>1</v>
      </c>
      <c r="D178" s="20" t="s">
        <v>47</v>
      </c>
      <c r="E178" s="107">
        <v>160</v>
      </c>
      <c r="F178" s="79">
        <v>27</v>
      </c>
      <c r="G178" s="82">
        <v>51</v>
      </c>
      <c r="H178" s="79">
        <v>9</v>
      </c>
      <c r="I178" s="71">
        <v>16</v>
      </c>
      <c r="J178" s="71">
        <v>0</v>
      </c>
      <c r="K178" s="71">
        <v>5</v>
      </c>
      <c r="L178" s="71">
        <f t="shared" si="4"/>
        <v>9</v>
      </c>
      <c r="M178" s="82">
        <f t="shared" si="4"/>
        <v>21</v>
      </c>
      <c r="N178" s="79">
        <v>12</v>
      </c>
      <c r="O178" s="71">
        <v>0</v>
      </c>
      <c r="P178" s="71">
        <v>16</v>
      </c>
      <c r="Q178" s="82">
        <v>28</v>
      </c>
      <c r="R178" s="79">
        <f>9+28+95-16-4</f>
        <v>112</v>
      </c>
      <c r="S178" s="82">
        <f>21+28+139-16-4</f>
        <v>168</v>
      </c>
      <c r="T178" s="79">
        <v>7</v>
      </c>
      <c r="U178" s="71">
        <v>7</v>
      </c>
      <c r="V178" s="71">
        <v>11</v>
      </c>
      <c r="W178" s="71">
        <v>11</v>
      </c>
      <c r="X178" s="71">
        <v>12</v>
      </c>
      <c r="Y178" s="88">
        <v>12</v>
      </c>
    </row>
    <row r="179" spans="2:25" ht="15" customHeight="1">
      <c r="B179" s="97" t="s">
        <v>23</v>
      </c>
      <c r="C179" s="20"/>
      <c r="D179" s="20"/>
      <c r="E179" s="33">
        <v>161</v>
      </c>
      <c r="F179" s="79">
        <v>5</v>
      </c>
      <c r="G179" s="82">
        <v>13</v>
      </c>
      <c r="H179" s="79">
        <v>5</v>
      </c>
      <c r="I179" s="71">
        <v>9</v>
      </c>
      <c r="J179" s="71">
        <v>0</v>
      </c>
      <c r="K179" s="71">
        <v>0</v>
      </c>
      <c r="L179" s="71">
        <f aca="true" t="shared" si="5" ref="L179:M189">SUM(H179,J179)</f>
        <v>5</v>
      </c>
      <c r="M179" s="82">
        <f t="shared" si="5"/>
        <v>9</v>
      </c>
      <c r="N179" s="79">
        <v>1</v>
      </c>
      <c r="O179" s="71">
        <v>0</v>
      </c>
      <c r="P179" s="71">
        <v>11</v>
      </c>
      <c r="Q179" s="82">
        <v>12</v>
      </c>
      <c r="R179" s="79">
        <f>5+12+450-172-24</f>
        <v>271</v>
      </c>
      <c r="S179" s="82">
        <f>9+12+462-172-24</f>
        <v>287</v>
      </c>
      <c r="T179" s="79">
        <v>1</v>
      </c>
      <c r="U179" s="71">
        <v>1</v>
      </c>
      <c r="V179" s="71">
        <v>4</v>
      </c>
      <c r="W179" s="71">
        <v>4</v>
      </c>
      <c r="X179" s="71">
        <v>5</v>
      </c>
      <c r="Y179" s="88">
        <v>5</v>
      </c>
    </row>
    <row r="180" spans="2:25" ht="15" customHeight="1">
      <c r="B180" s="97" t="s">
        <v>24</v>
      </c>
      <c r="C180" s="20">
        <v>1</v>
      </c>
      <c r="D180" s="20" t="s">
        <v>52</v>
      </c>
      <c r="E180" s="33">
        <v>162</v>
      </c>
      <c r="F180" s="79">
        <v>222</v>
      </c>
      <c r="G180" s="82">
        <v>415</v>
      </c>
      <c r="H180" s="79">
        <v>63</v>
      </c>
      <c r="I180" s="71">
        <v>143</v>
      </c>
      <c r="J180" s="71">
        <v>3</v>
      </c>
      <c r="K180" s="71">
        <v>13</v>
      </c>
      <c r="L180" s="71">
        <f t="shared" si="5"/>
        <v>66</v>
      </c>
      <c r="M180" s="82">
        <f t="shared" si="5"/>
        <v>156</v>
      </c>
      <c r="N180" s="79">
        <v>20</v>
      </c>
      <c r="O180" s="71">
        <v>0</v>
      </c>
      <c r="P180" s="71">
        <v>82</v>
      </c>
      <c r="Q180" s="82">
        <v>102</v>
      </c>
      <c r="R180" s="79">
        <f>66+102+766-201-43</f>
        <v>690</v>
      </c>
      <c r="S180" s="82">
        <f>156+102+1077-201-43</f>
        <v>1091</v>
      </c>
      <c r="T180" s="79">
        <v>14</v>
      </c>
      <c r="U180" s="71">
        <v>14</v>
      </c>
      <c r="V180" s="71">
        <v>37</v>
      </c>
      <c r="W180" s="71">
        <v>37</v>
      </c>
      <c r="X180" s="71">
        <v>45</v>
      </c>
      <c r="Y180" s="88">
        <v>45</v>
      </c>
    </row>
    <row r="181" spans="2:25" ht="15" customHeight="1">
      <c r="B181" s="97" t="s">
        <v>25</v>
      </c>
      <c r="C181" s="20"/>
      <c r="D181" s="20"/>
      <c r="E181" s="107">
        <v>163</v>
      </c>
      <c r="F181" s="79">
        <v>1372</v>
      </c>
      <c r="G181" s="82">
        <v>2807</v>
      </c>
      <c r="H181" s="79">
        <v>352</v>
      </c>
      <c r="I181" s="71">
        <v>797</v>
      </c>
      <c r="J181" s="71">
        <v>34</v>
      </c>
      <c r="K181" s="71">
        <v>143</v>
      </c>
      <c r="L181" s="71">
        <f t="shared" si="5"/>
        <v>386</v>
      </c>
      <c r="M181" s="82">
        <f t="shared" si="5"/>
        <v>940</v>
      </c>
      <c r="N181" s="79">
        <v>36</v>
      </c>
      <c r="O181" s="71">
        <v>1</v>
      </c>
      <c r="P181" s="71">
        <v>220</v>
      </c>
      <c r="Q181" s="82">
        <v>258</v>
      </c>
      <c r="R181" s="79">
        <f>386+258+2962-630-82</f>
        <v>2894</v>
      </c>
      <c r="S181" s="82">
        <f>940+258+4373-630-82</f>
        <v>4859</v>
      </c>
      <c r="T181" s="79">
        <v>48</v>
      </c>
      <c r="U181" s="71">
        <v>50</v>
      </c>
      <c r="V181" s="71">
        <v>339</v>
      </c>
      <c r="W181" s="71">
        <v>339</v>
      </c>
      <c r="X181" s="71">
        <v>353</v>
      </c>
      <c r="Y181" s="88">
        <v>354</v>
      </c>
    </row>
    <row r="182" spans="2:25" ht="15" customHeight="1">
      <c r="B182" s="97" t="s">
        <v>26</v>
      </c>
      <c r="C182" s="20"/>
      <c r="D182" s="20"/>
      <c r="E182" s="33">
        <v>164</v>
      </c>
      <c r="F182" s="79">
        <v>365</v>
      </c>
      <c r="G182" s="82">
        <v>671</v>
      </c>
      <c r="H182" s="79">
        <v>137</v>
      </c>
      <c r="I182" s="71">
        <v>281</v>
      </c>
      <c r="J182" s="71">
        <v>4</v>
      </c>
      <c r="K182" s="71">
        <v>17</v>
      </c>
      <c r="L182" s="71">
        <f t="shared" si="5"/>
        <v>141</v>
      </c>
      <c r="M182" s="82">
        <f t="shared" si="5"/>
        <v>298</v>
      </c>
      <c r="N182" s="79">
        <v>51</v>
      </c>
      <c r="O182" s="71">
        <v>1</v>
      </c>
      <c r="P182" s="71">
        <v>97</v>
      </c>
      <c r="Q182" s="82">
        <v>150</v>
      </c>
      <c r="R182" s="79">
        <f>141+150+1743-421-67</f>
        <v>1546</v>
      </c>
      <c r="S182" s="82">
        <f>298+150+2206-421-67</f>
        <v>2166</v>
      </c>
      <c r="T182" s="79">
        <v>16</v>
      </c>
      <c r="U182" s="71">
        <v>18</v>
      </c>
      <c r="V182" s="71">
        <v>86</v>
      </c>
      <c r="W182" s="71">
        <v>86</v>
      </c>
      <c r="X182" s="71">
        <v>94</v>
      </c>
      <c r="Y182" s="88">
        <v>96</v>
      </c>
    </row>
    <row r="183" spans="2:25" ht="15" customHeight="1">
      <c r="B183" s="97" t="s">
        <v>27</v>
      </c>
      <c r="C183" s="20"/>
      <c r="D183" s="20"/>
      <c r="E183" s="33">
        <v>165</v>
      </c>
      <c r="F183" s="79">
        <v>125</v>
      </c>
      <c r="G183" s="82">
        <v>250</v>
      </c>
      <c r="H183" s="79">
        <v>42</v>
      </c>
      <c r="I183" s="71">
        <v>106</v>
      </c>
      <c r="J183" s="71">
        <v>0</v>
      </c>
      <c r="K183" s="71">
        <v>0</v>
      </c>
      <c r="L183" s="71">
        <f t="shared" si="5"/>
        <v>42</v>
      </c>
      <c r="M183" s="82">
        <f t="shared" si="5"/>
        <v>106</v>
      </c>
      <c r="N183" s="79">
        <v>7</v>
      </c>
      <c r="O183" s="71">
        <v>0</v>
      </c>
      <c r="P183" s="71">
        <v>22</v>
      </c>
      <c r="Q183" s="82">
        <v>30</v>
      </c>
      <c r="R183" s="79">
        <f>42+30+451-85-5</f>
        <v>433</v>
      </c>
      <c r="S183" s="82">
        <f>106+30+650-85-5</f>
        <v>696</v>
      </c>
      <c r="T183" s="79">
        <v>8</v>
      </c>
      <c r="U183" s="71">
        <v>8</v>
      </c>
      <c r="V183" s="71">
        <v>27</v>
      </c>
      <c r="W183" s="71">
        <v>27</v>
      </c>
      <c r="X183" s="71">
        <v>29</v>
      </c>
      <c r="Y183" s="88">
        <v>29</v>
      </c>
    </row>
    <row r="184" spans="2:25" ht="15" customHeight="1">
      <c r="B184" s="97" t="s">
        <v>28</v>
      </c>
      <c r="C184" s="20"/>
      <c r="D184" s="20"/>
      <c r="E184" s="107">
        <v>166</v>
      </c>
      <c r="F184" s="79">
        <v>72</v>
      </c>
      <c r="G184" s="82">
        <v>131</v>
      </c>
      <c r="H184" s="79">
        <v>31</v>
      </c>
      <c r="I184" s="71">
        <v>56</v>
      </c>
      <c r="J184" s="71">
        <v>2</v>
      </c>
      <c r="K184" s="71">
        <v>10</v>
      </c>
      <c r="L184" s="71">
        <f t="shared" si="5"/>
        <v>33</v>
      </c>
      <c r="M184" s="82">
        <f t="shared" si="5"/>
        <v>66</v>
      </c>
      <c r="N184" s="79">
        <v>16</v>
      </c>
      <c r="O184" s="71">
        <v>0</v>
      </c>
      <c r="P184" s="71">
        <v>69</v>
      </c>
      <c r="Q184" s="82">
        <v>86</v>
      </c>
      <c r="R184" s="79">
        <f>33+86+509-149-18</f>
        <v>461</v>
      </c>
      <c r="S184" s="82">
        <f>66+86+621-149-18</f>
        <v>606</v>
      </c>
      <c r="T184" s="79">
        <v>2</v>
      </c>
      <c r="U184" s="71">
        <v>2</v>
      </c>
      <c r="V184" s="71">
        <v>22</v>
      </c>
      <c r="W184" s="71">
        <v>22</v>
      </c>
      <c r="X184" s="71">
        <v>23</v>
      </c>
      <c r="Y184" s="88">
        <v>23</v>
      </c>
    </row>
    <row r="185" spans="2:25" ht="15" customHeight="1">
      <c r="B185" s="97" t="s">
        <v>29</v>
      </c>
      <c r="C185" s="20"/>
      <c r="D185" s="20"/>
      <c r="E185" s="33">
        <v>167</v>
      </c>
      <c r="F185" s="79">
        <v>29</v>
      </c>
      <c r="G185" s="82">
        <v>47</v>
      </c>
      <c r="H185" s="79">
        <v>8</v>
      </c>
      <c r="I185" s="71">
        <v>18</v>
      </c>
      <c r="J185" s="71">
        <v>0</v>
      </c>
      <c r="K185" s="71">
        <v>0</v>
      </c>
      <c r="L185" s="71">
        <f t="shared" si="5"/>
        <v>8</v>
      </c>
      <c r="M185" s="82">
        <f t="shared" si="5"/>
        <v>18</v>
      </c>
      <c r="N185" s="79">
        <v>14</v>
      </c>
      <c r="O185" s="71">
        <v>0</v>
      </c>
      <c r="P185" s="71">
        <v>6</v>
      </c>
      <c r="Q185" s="82">
        <v>20</v>
      </c>
      <c r="R185" s="79">
        <f>8+20+172-41-2</f>
        <v>157</v>
      </c>
      <c r="S185" s="82">
        <f>18+20+204-41-2</f>
        <v>199</v>
      </c>
      <c r="T185" s="79">
        <v>3</v>
      </c>
      <c r="U185" s="71">
        <v>3</v>
      </c>
      <c r="V185" s="71">
        <v>12</v>
      </c>
      <c r="W185" s="71">
        <v>12</v>
      </c>
      <c r="X185" s="71">
        <v>13</v>
      </c>
      <c r="Y185" s="88">
        <v>13</v>
      </c>
    </row>
    <row r="186" spans="2:25" ht="15" customHeight="1">
      <c r="B186" s="97" t="s">
        <v>30</v>
      </c>
      <c r="C186" s="20">
        <v>1</v>
      </c>
      <c r="D186" s="20" t="s">
        <v>52</v>
      </c>
      <c r="E186" s="33">
        <v>168</v>
      </c>
      <c r="F186" s="79">
        <v>25</v>
      </c>
      <c r="G186" s="82">
        <v>41</v>
      </c>
      <c r="H186" s="79">
        <v>4</v>
      </c>
      <c r="I186" s="71">
        <v>10</v>
      </c>
      <c r="J186" s="71">
        <v>0</v>
      </c>
      <c r="K186" s="71">
        <v>0</v>
      </c>
      <c r="L186" s="71">
        <f t="shared" si="5"/>
        <v>4</v>
      </c>
      <c r="M186" s="82">
        <f t="shared" si="5"/>
        <v>10</v>
      </c>
      <c r="N186" s="79">
        <v>6</v>
      </c>
      <c r="O186" s="71">
        <v>0</v>
      </c>
      <c r="P186" s="71">
        <v>19</v>
      </c>
      <c r="Q186" s="82">
        <v>26</v>
      </c>
      <c r="R186" s="79">
        <f>4+26+149-39-8</f>
        <v>132</v>
      </c>
      <c r="S186" s="82">
        <f>10+26+200-39-8</f>
        <v>189</v>
      </c>
      <c r="T186" s="79">
        <v>1</v>
      </c>
      <c r="U186" s="71">
        <v>1</v>
      </c>
      <c r="V186" s="71">
        <v>7</v>
      </c>
      <c r="W186" s="71">
        <v>7</v>
      </c>
      <c r="X186" s="71">
        <v>8</v>
      </c>
      <c r="Y186" s="88">
        <v>8</v>
      </c>
    </row>
    <row r="187" spans="2:25" ht="15" customHeight="1">
      <c r="B187" s="97" t="s">
        <v>31</v>
      </c>
      <c r="C187" s="20">
        <v>1</v>
      </c>
      <c r="D187" s="20" t="s">
        <v>47</v>
      </c>
      <c r="E187" s="107">
        <v>169</v>
      </c>
      <c r="F187" s="79">
        <v>26</v>
      </c>
      <c r="G187" s="82">
        <v>43</v>
      </c>
      <c r="H187" s="79">
        <v>10</v>
      </c>
      <c r="I187" s="71">
        <v>19</v>
      </c>
      <c r="J187" s="71">
        <v>0</v>
      </c>
      <c r="K187" s="71">
        <v>1</v>
      </c>
      <c r="L187" s="71">
        <f t="shared" si="5"/>
        <v>10</v>
      </c>
      <c r="M187" s="82">
        <f t="shared" si="5"/>
        <v>20</v>
      </c>
      <c r="N187" s="79">
        <v>1</v>
      </c>
      <c r="O187" s="71">
        <v>0</v>
      </c>
      <c r="P187" s="71">
        <v>7</v>
      </c>
      <c r="Q187" s="82">
        <v>8</v>
      </c>
      <c r="R187" s="79">
        <f>10+8+132-25-6</f>
        <v>119</v>
      </c>
      <c r="S187" s="82">
        <f>20+8+201-25-6</f>
        <v>198</v>
      </c>
      <c r="T187" s="79">
        <v>1</v>
      </c>
      <c r="U187" s="71">
        <v>1</v>
      </c>
      <c r="V187" s="71">
        <v>3</v>
      </c>
      <c r="W187" s="71">
        <v>3</v>
      </c>
      <c r="X187" s="71">
        <v>3</v>
      </c>
      <c r="Y187" s="88">
        <v>3</v>
      </c>
    </row>
    <row r="188" spans="2:25" ht="15" customHeight="1">
      <c r="B188" s="98" t="s">
        <v>32</v>
      </c>
      <c r="C188" s="22"/>
      <c r="D188" s="22"/>
      <c r="E188" s="33"/>
      <c r="F188" s="79">
        <v>1</v>
      </c>
      <c r="G188" s="82">
        <v>1</v>
      </c>
      <c r="H188" s="79">
        <v>0</v>
      </c>
      <c r="I188" s="71">
        <v>0</v>
      </c>
      <c r="J188" s="71">
        <v>0</v>
      </c>
      <c r="K188" s="71">
        <v>0</v>
      </c>
      <c r="L188" s="71">
        <f t="shared" si="5"/>
        <v>0</v>
      </c>
      <c r="M188" s="82">
        <f t="shared" si="5"/>
        <v>0</v>
      </c>
      <c r="N188" s="79">
        <v>0</v>
      </c>
      <c r="O188" s="71">
        <v>0</v>
      </c>
      <c r="P188" s="71">
        <v>1</v>
      </c>
      <c r="Q188" s="82">
        <v>1</v>
      </c>
      <c r="R188" s="79">
        <f>1+470-3</f>
        <v>468</v>
      </c>
      <c r="S188" s="82">
        <f>1+471-3</f>
        <v>469</v>
      </c>
      <c r="T188" s="79">
        <v>0</v>
      </c>
      <c r="U188" s="71">
        <v>0</v>
      </c>
      <c r="V188" s="71">
        <v>1</v>
      </c>
      <c r="W188" s="71">
        <v>1</v>
      </c>
      <c r="X188" s="71">
        <v>1</v>
      </c>
      <c r="Y188" s="88">
        <v>1</v>
      </c>
    </row>
    <row r="189" spans="2:25" ht="15" customHeight="1" thickBot="1">
      <c r="B189" s="99" t="s">
        <v>33</v>
      </c>
      <c r="C189" s="36"/>
      <c r="D189" s="36"/>
      <c r="E189" s="108"/>
      <c r="F189" s="100">
        <v>81157</v>
      </c>
      <c r="G189" s="101">
        <v>162682</v>
      </c>
      <c r="H189" s="100">
        <v>26877</v>
      </c>
      <c r="I189" s="102">
        <v>63985</v>
      </c>
      <c r="J189" s="102">
        <v>1176</v>
      </c>
      <c r="K189" s="102">
        <v>4787</v>
      </c>
      <c r="L189" s="102">
        <f t="shared" si="5"/>
        <v>28053</v>
      </c>
      <c r="M189" s="101">
        <f t="shared" si="5"/>
        <v>68772</v>
      </c>
      <c r="N189" s="100">
        <v>7010</v>
      </c>
      <c r="O189" s="102">
        <v>139</v>
      </c>
      <c r="P189" s="102">
        <v>17659</v>
      </c>
      <c r="Q189" s="101">
        <v>24810</v>
      </c>
      <c r="R189" s="100">
        <f>28053+24810+196272-43701-5494</f>
        <v>199940</v>
      </c>
      <c r="S189" s="101">
        <f>68772+24810+277024-43701-5494</f>
        <v>321411</v>
      </c>
      <c r="T189" s="100">
        <v>4035</v>
      </c>
      <c r="U189" s="102">
        <v>4133</v>
      </c>
      <c r="V189" s="102">
        <v>18068</v>
      </c>
      <c r="W189" s="102">
        <v>18085</v>
      </c>
      <c r="X189" s="102">
        <v>20046</v>
      </c>
      <c r="Y189" s="103">
        <v>20136</v>
      </c>
    </row>
    <row r="190" ht="15" customHeight="1">
      <c r="B190" s="1" t="s">
        <v>236</v>
      </c>
    </row>
  </sheetData>
  <mergeCells count="10">
    <mergeCell ref="B6:N6"/>
    <mergeCell ref="B17:E17"/>
    <mergeCell ref="B13:E13"/>
    <mergeCell ref="B14:E14"/>
    <mergeCell ref="B15:E15"/>
    <mergeCell ref="B16:E16"/>
    <mergeCell ref="B7:E8"/>
    <mergeCell ref="B10:E10"/>
    <mergeCell ref="B11:E11"/>
    <mergeCell ref="B12:E1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AA192"/>
  <sheetViews>
    <sheetView zoomScale="50" zoomScaleNormal="50" workbookViewId="0" topLeftCell="A1">
      <selection activeCell="B29" sqref="B29"/>
    </sheetView>
  </sheetViews>
  <sheetFormatPr defaultColWidth="9.00390625" defaultRowHeight="15" customHeight="1"/>
  <cols>
    <col min="1" max="16384" width="12.75390625" style="0" customWidth="1"/>
  </cols>
  <sheetData>
    <row r="2" ht="15" customHeight="1">
      <c r="H2" s="1"/>
    </row>
    <row r="3" ht="15" customHeight="1">
      <c r="H3" s="1"/>
    </row>
    <row r="4" ht="15" customHeight="1">
      <c r="H4" s="1"/>
    </row>
    <row r="7" spans="6:27" ht="15" customHeight="1" thickBot="1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55"/>
      <c r="T7" s="55"/>
      <c r="U7" s="55"/>
      <c r="V7" s="55"/>
      <c r="W7" s="55"/>
      <c r="X7" s="55"/>
      <c r="Y7" s="55"/>
      <c r="Z7" s="55"/>
      <c r="AA7" s="55"/>
    </row>
    <row r="8" spans="2:27" ht="40.5" customHeight="1" thickBot="1">
      <c r="B8" s="208" t="s">
        <v>100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10"/>
      <c r="O8" s="55"/>
      <c r="P8" s="55"/>
      <c r="Q8" s="55"/>
      <c r="R8" s="1"/>
      <c r="S8" s="55"/>
      <c r="T8" s="55"/>
      <c r="U8" s="55"/>
      <c r="V8" s="55"/>
      <c r="W8" s="55"/>
      <c r="X8" s="55"/>
      <c r="Y8" s="55"/>
      <c r="Z8" s="55"/>
      <c r="AA8" s="55"/>
    </row>
    <row r="9" spans="2:27" ht="15" customHeight="1">
      <c r="B9" s="193" t="s">
        <v>199</v>
      </c>
      <c r="C9" s="194"/>
      <c r="D9" s="194"/>
      <c r="E9" s="195"/>
      <c r="F9" s="9" t="s">
        <v>180</v>
      </c>
      <c r="G9" s="10"/>
      <c r="H9" s="9" t="s">
        <v>186</v>
      </c>
      <c r="I9" s="10"/>
      <c r="J9" s="10"/>
      <c r="K9" s="10"/>
      <c r="L9" s="10"/>
      <c r="M9" s="11"/>
      <c r="N9" s="10" t="s">
        <v>181</v>
      </c>
      <c r="O9" s="10"/>
      <c r="P9" s="10"/>
      <c r="Q9" s="10"/>
      <c r="R9" s="9" t="s">
        <v>182</v>
      </c>
      <c r="S9" s="11"/>
      <c r="T9" s="139" t="s">
        <v>192</v>
      </c>
      <c r="U9" s="149" t="s">
        <v>194</v>
      </c>
      <c r="V9" s="10" t="s">
        <v>184</v>
      </c>
      <c r="W9" s="10"/>
      <c r="X9" s="9" t="s">
        <v>193</v>
      </c>
      <c r="Y9" s="10"/>
      <c r="Z9" s="10"/>
      <c r="AA9" s="11"/>
    </row>
    <row r="10" spans="2:27" ht="15" customHeight="1">
      <c r="B10" s="196"/>
      <c r="C10" s="197"/>
      <c r="D10" s="197"/>
      <c r="E10" s="198"/>
      <c r="F10" s="110"/>
      <c r="G10" s="105"/>
      <c r="H10" s="68" t="s">
        <v>178</v>
      </c>
      <c r="I10" s="69"/>
      <c r="J10" s="69" t="s">
        <v>179</v>
      </c>
      <c r="K10" s="69"/>
      <c r="L10" s="69" t="s">
        <v>177</v>
      </c>
      <c r="M10" s="70"/>
      <c r="N10" s="105"/>
      <c r="O10" s="105"/>
      <c r="P10" s="105"/>
      <c r="Q10" s="105"/>
      <c r="R10" s="110"/>
      <c r="S10" s="144"/>
      <c r="T10" s="110"/>
      <c r="U10" s="112"/>
      <c r="V10" s="8" t="s">
        <v>183</v>
      </c>
      <c r="W10" s="8"/>
      <c r="X10" s="68" t="s">
        <v>187</v>
      </c>
      <c r="Y10" s="69"/>
      <c r="Z10" s="69" t="s">
        <v>188</v>
      </c>
      <c r="AA10" s="70"/>
    </row>
    <row r="11" spans="2:27" ht="15" customHeight="1" thickBot="1">
      <c r="B11" s="5"/>
      <c r="C11" s="6"/>
      <c r="D11" s="6"/>
      <c r="E11" s="7"/>
      <c r="F11" s="58" t="s">
        <v>172</v>
      </c>
      <c r="G11" s="113" t="s">
        <v>173</v>
      </c>
      <c r="H11" s="58" t="s">
        <v>172</v>
      </c>
      <c r="I11" s="60" t="s">
        <v>173</v>
      </c>
      <c r="J11" s="60" t="s">
        <v>172</v>
      </c>
      <c r="K11" s="60" t="s">
        <v>173</v>
      </c>
      <c r="L11" s="60" t="s">
        <v>172</v>
      </c>
      <c r="M11" s="59" t="s">
        <v>173</v>
      </c>
      <c r="N11" s="61" t="s">
        <v>174</v>
      </c>
      <c r="O11" s="60" t="s">
        <v>175</v>
      </c>
      <c r="P11" s="60" t="s">
        <v>176</v>
      </c>
      <c r="Q11" s="113" t="s">
        <v>177</v>
      </c>
      <c r="R11" s="58" t="s">
        <v>172</v>
      </c>
      <c r="S11" s="59" t="s">
        <v>173</v>
      </c>
      <c r="T11" s="157"/>
      <c r="U11" s="158"/>
      <c r="V11" s="61" t="s">
        <v>172</v>
      </c>
      <c r="W11" s="113" t="s">
        <v>173</v>
      </c>
      <c r="X11" s="58" t="s">
        <v>172</v>
      </c>
      <c r="Y11" s="60" t="s">
        <v>173</v>
      </c>
      <c r="Z11" s="60" t="s">
        <v>172</v>
      </c>
      <c r="AA11" s="59" t="s">
        <v>173</v>
      </c>
    </row>
    <row r="12" spans="2:27" ht="15" customHeight="1">
      <c r="B12" s="214" t="s">
        <v>42</v>
      </c>
      <c r="C12" s="215"/>
      <c r="D12" s="215"/>
      <c r="E12" s="216"/>
      <c r="F12" s="115">
        <v>2146</v>
      </c>
      <c r="G12" s="114">
        <v>3907</v>
      </c>
      <c r="H12" s="115">
        <v>608</v>
      </c>
      <c r="I12" s="109">
        <v>1288</v>
      </c>
      <c r="J12" s="109">
        <v>33</v>
      </c>
      <c r="K12" s="109">
        <v>142</v>
      </c>
      <c r="L12" s="109">
        <v>641</v>
      </c>
      <c r="M12" s="153">
        <v>1430</v>
      </c>
      <c r="N12" s="154">
        <v>302</v>
      </c>
      <c r="O12" s="109">
        <v>10</v>
      </c>
      <c r="P12" s="109">
        <v>936</v>
      </c>
      <c r="Q12" s="114">
        <v>1271</v>
      </c>
      <c r="R12" s="115">
        <v>10431</v>
      </c>
      <c r="S12" s="153">
        <v>14690</v>
      </c>
      <c r="T12" s="155">
        <v>2420</v>
      </c>
      <c r="U12" s="156">
        <v>594</v>
      </c>
      <c r="V12" s="154">
        <v>9330</v>
      </c>
      <c r="W12" s="114">
        <v>14378</v>
      </c>
      <c r="X12" s="115">
        <v>94</v>
      </c>
      <c r="Y12" s="109">
        <v>97</v>
      </c>
      <c r="Z12" s="109">
        <v>675</v>
      </c>
      <c r="AA12" s="153">
        <v>677</v>
      </c>
    </row>
    <row r="13" spans="2:27" ht="15" customHeight="1">
      <c r="B13" s="211" t="s">
        <v>200</v>
      </c>
      <c r="C13" s="212"/>
      <c r="D13" s="212"/>
      <c r="E13" s="213"/>
      <c r="F13" s="77">
        <v>75815</v>
      </c>
      <c r="G13" s="80">
        <v>147826</v>
      </c>
      <c r="H13" s="77">
        <v>23560</v>
      </c>
      <c r="I13" s="75">
        <v>54665</v>
      </c>
      <c r="J13" s="75">
        <v>1220</v>
      </c>
      <c r="K13" s="75">
        <v>4746</v>
      </c>
      <c r="L13" s="75">
        <v>24780</v>
      </c>
      <c r="M13" s="86">
        <v>59411</v>
      </c>
      <c r="N13" s="83">
        <v>6264</v>
      </c>
      <c r="O13" s="75">
        <v>124</v>
      </c>
      <c r="P13" s="75">
        <v>15315</v>
      </c>
      <c r="Q13" s="80">
        <v>21681</v>
      </c>
      <c r="R13" s="77">
        <v>194160</v>
      </c>
      <c r="S13" s="86">
        <v>278601</v>
      </c>
      <c r="T13" s="145">
        <v>41708</v>
      </c>
      <c r="U13" s="122">
        <v>6573</v>
      </c>
      <c r="V13" s="83">
        <v>192339</v>
      </c>
      <c r="W13" s="80">
        <v>311411</v>
      </c>
      <c r="X13" s="77">
        <v>3989</v>
      </c>
      <c r="Y13" s="75">
        <v>4082</v>
      </c>
      <c r="Z13" s="75">
        <v>19717</v>
      </c>
      <c r="AA13" s="86">
        <v>19726</v>
      </c>
    </row>
    <row r="14" spans="2:27" ht="15" customHeight="1">
      <c r="B14" s="211" t="s">
        <v>201</v>
      </c>
      <c r="C14" s="212"/>
      <c r="D14" s="212"/>
      <c r="E14" s="213"/>
      <c r="F14" s="77">
        <v>56784</v>
      </c>
      <c r="G14" s="80">
        <v>113461</v>
      </c>
      <c r="H14" s="77">
        <v>18056</v>
      </c>
      <c r="I14" s="75">
        <v>42846</v>
      </c>
      <c r="J14" s="75">
        <v>895</v>
      </c>
      <c r="K14" s="75">
        <v>3559</v>
      </c>
      <c r="L14" s="75">
        <v>18951</v>
      </c>
      <c r="M14" s="86">
        <v>46405</v>
      </c>
      <c r="N14" s="83">
        <v>4408</v>
      </c>
      <c r="O14" s="75">
        <v>54</v>
      </c>
      <c r="P14" s="75">
        <v>9876</v>
      </c>
      <c r="Q14" s="80">
        <v>14353</v>
      </c>
      <c r="R14" s="77">
        <v>117994</v>
      </c>
      <c r="S14" s="86">
        <v>176366</v>
      </c>
      <c r="T14" s="145">
        <v>23543</v>
      </c>
      <c r="U14" s="122">
        <v>3013</v>
      </c>
      <c r="V14" s="83">
        <v>124742</v>
      </c>
      <c r="W14" s="80">
        <v>210568</v>
      </c>
      <c r="X14" s="77">
        <v>2877</v>
      </c>
      <c r="Y14" s="75">
        <v>2929</v>
      </c>
      <c r="Z14" s="75">
        <v>14953</v>
      </c>
      <c r="AA14" s="86">
        <v>14960</v>
      </c>
    </row>
    <row r="15" spans="2:27" ht="15" customHeight="1">
      <c r="B15" s="211" t="s">
        <v>202</v>
      </c>
      <c r="C15" s="212"/>
      <c r="D15" s="212"/>
      <c r="E15" s="213"/>
      <c r="F15" s="77">
        <v>19031</v>
      </c>
      <c r="G15" s="80">
        <v>34365</v>
      </c>
      <c r="H15" s="77">
        <v>5504</v>
      </c>
      <c r="I15" s="75">
        <v>11819</v>
      </c>
      <c r="J15" s="75">
        <v>325</v>
      </c>
      <c r="K15" s="75">
        <v>1187</v>
      </c>
      <c r="L15" s="75">
        <v>5829</v>
      </c>
      <c r="M15" s="86">
        <v>13006</v>
      </c>
      <c r="N15" s="83">
        <v>1856</v>
      </c>
      <c r="O15" s="75">
        <v>70</v>
      </c>
      <c r="P15" s="75">
        <v>5439</v>
      </c>
      <c r="Q15" s="80">
        <v>7328</v>
      </c>
      <c r="R15" s="77">
        <v>76166</v>
      </c>
      <c r="S15" s="86">
        <v>102235</v>
      </c>
      <c r="T15" s="145">
        <v>18165</v>
      </c>
      <c r="U15" s="122">
        <v>3560</v>
      </c>
      <c r="V15" s="83">
        <v>67597</v>
      </c>
      <c r="W15" s="80">
        <v>100843</v>
      </c>
      <c r="X15" s="77">
        <v>1112</v>
      </c>
      <c r="Y15" s="75">
        <v>1153</v>
      </c>
      <c r="Z15" s="75">
        <v>4764</v>
      </c>
      <c r="AA15" s="86">
        <v>4766</v>
      </c>
    </row>
    <row r="16" spans="2:27" ht="15" customHeight="1">
      <c r="B16" s="211" t="s">
        <v>43</v>
      </c>
      <c r="C16" s="212"/>
      <c r="D16" s="212"/>
      <c r="E16" s="213"/>
      <c r="F16" s="77">
        <v>1232</v>
      </c>
      <c r="G16" s="80">
        <v>2322</v>
      </c>
      <c r="H16" s="77">
        <v>375</v>
      </c>
      <c r="I16" s="75">
        <v>787</v>
      </c>
      <c r="J16" s="75">
        <v>25</v>
      </c>
      <c r="K16" s="75">
        <v>105</v>
      </c>
      <c r="L16" s="75">
        <v>400</v>
      </c>
      <c r="M16" s="86">
        <v>892</v>
      </c>
      <c r="N16" s="83">
        <v>143</v>
      </c>
      <c r="O16" s="75">
        <v>8</v>
      </c>
      <c r="P16" s="75">
        <v>420</v>
      </c>
      <c r="Q16" s="80">
        <v>577</v>
      </c>
      <c r="R16" s="77">
        <v>5411</v>
      </c>
      <c r="S16" s="86">
        <v>7789</v>
      </c>
      <c r="T16" s="145">
        <v>1281</v>
      </c>
      <c r="U16" s="122">
        <v>252</v>
      </c>
      <c r="V16" s="83">
        <v>4855</v>
      </c>
      <c r="W16" s="80">
        <v>7725</v>
      </c>
      <c r="X16" s="77">
        <v>43</v>
      </c>
      <c r="Y16" s="75">
        <v>44</v>
      </c>
      <c r="Z16" s="75">
        <v>357</v>
      </c>
      <c r="AA16" s="86">
        <v>357</v>
      </c>
    </row>
    <row r="17" spans="2:27" ht="15" customHeight="1">
      <c r="B17" s="211" t="s">
        <v>44</v>
      </c>
      <c r="C17" s="212"/>
      <c r="D17" s="212"/>
      <c r="E17" s="213"/>
      <c r="F17" s="77">
        <v>711</v>
      </c>
      <c r="G17" s="80">
        <v>1259</v>
      </c>
      <c r="H17" s="77">
        <v>189</v>
      </c>
      <c r="I17" s="75">
        <v>406</v>
      </c>
      <c r="J17" s="75">
        <v>7</v>
      </c>
      <c r="K17" s="75">
        <v>32</v>
      </c>
      <c r="L17" s="75">
        <v>196</v>
      </c>
      <c r="M17" s="86">
        <v>438</v>
      </c>
      <c r="N17" s="83">
        <v>97</v>
      </c>
      <c r="O17" s="75">
        <v>2</v>
      </c>
      <c r="P17" s="75">
        <v>322</v>
      </c>
      <c r="Q17" s="80">
        <v>433</v>
      </c>
      <c r="R17" s="77">
        <v>3839</v>
      </c>
      <c r="S17" s="86">
        <v>5389</v>
      </c>
      <c r="T17" s="145">
        <v>817</v>
      </c>
      <c r="U17" s="122">
        <v>257</v>
      </c>
      <c r="V17" s="83">
        <v>3395</v>
      </c>
      <c r="W17" s="80">
        <v>5187</v>
      </c>
      <c r="X17" s="77">
        <v>41</v>
      </c>
      <c r="Y17" s="75">
        <v>43</v>
      </c>
      <c r="Z17" s="75">
        <v>261</v>
      </c>
      <c r="AA17" s="86">
        <v>263</v>
      </c>
    </row>
    <row r="18" spans="2:27" ht="15" customHeight="1">
      <c r="B18" s="211" t="s">
        <v>45</v>
      </c>
      <c r="C18" s="212"/>
      <c r="D18" s="212"/>
      <c r="E18" s="213"/>
      <c r="F18" s="77">
        <v>203</v>
      </c>
      <c r="G18" s="80">
        <v>326</v>
      </c>
      <c r="H18" s="77">
        <v>44</v>
      </c>
      <c r="I18" s="75">
        <v>95</v>
      </c>
      <c r="J18" s="75">
        <v>1</v>
      </c>
      <c r="K18" s="75">
        <v>5</v>
      </c>
      <c r="L18" s="75">
        <v>45</v>
      </c>
      <c r="M18" s="86">
        <v>100</v>
      </c>
      <c r="N18" s="83">
        <v>62</v>
      </c>
      <c r="O18" s="75">
        <v>0</v>
      </c>
      <c r="P18" s="75">
        <v>194</v>
      </c>
      <c r="Q18" s="80">
        <v>261</v>
      </c>
      <c r="R18" s="77">
        <v>1181</v>
      </c>
      <c r="S18" s="86">
        <v>1512</v>
      </c>
      <c r="T18" s="145">
        <v>322</v>
      </c>
      <c r="U18" s="122">
        <v>85</v>
      </c>
      <c r="V18" s="83">
        <v>1080</v>
      </c>
      <c r="W18" s="80">
        <v>1466</v>
      </c>
      <c r="X18" s="77">
        <v>10</v>
      </c>
      <c r="Y18" s="75">
        <v>10</v>
      </c>
      <c r="Z18" s="75">
        <v>57</v>
      </c>
      <c r="AA18" s="86">
        <v>57</v>
      </c>
    </row>
    <row r="19" spans="2:27" ht="15" customHeight="1">
      <c r="B19" s="211" t="s">
        <v>46</v>
      </c>
      <c r="C19" s="212"/>
      <c r="D19" s="212"/>
      <c r="E19" s="213"/>
      <c r="F19" s="77">
        <v>77961</v>
      </c>
      <c r="G19" s="80">
        <v>151733</v>
      </c>
      <c r="H19" s="77">
        <v>24168</v>
      </c>
      <c r="I19" s="75">
        <v>55953</v>
      </c>
      <c r="J19" s="75">
        <v>1253</v>
      </c>
      <c r="K19" s="75">
        <v>4888</v>
      </c>
      <c r="L19" s="75">
        <v>25421</v>
      </c>
      <c r="M19" s="86">
        <v>60841</v>
      </c>
      <c r="N19" s="83">
        <v>6566</v>
      </c>
      <c r="O19" s="75">
        <v>134</v>
      </c>
      <c r="P19" s="75">
        <v>16251</v>
      </c>
      <c r="Q19" s="80">
        <v>22952</v>
      </c>
      <c r="R19" s="77">
        <v>204591</v>
      </c>
      <c r="S19" s="86">
        <v>293291</v>
      </c>
      <c r="T19" s="145">
        <v>44128</v>
      </c>
      <c r="U19" s="122">
        <v>7167</v>
      </c>
      <c r="V19" s="83">
        <v>201669</v>
      </c>
      <c r="W19" s="80">
        <v>325789</v>
      </c>
      <c r="X19" s="77">
        <v>4083</v>
      </c>
      <c r="Y19" s="75">
        <v>4179</v>
      </c>
      <c r="Z19" s="75">
        <v>20392</v>
      </c>
      <c r="AA19" s="86">
        <v>20403</v>
      </c>
    </row>
    <row r="20" spans="2:27" ht="15" customHeight="1" thickBot="1">
      <c r="B20" s="112" t="s">
        <v>203</v>
      </c>
      <c r="C20" s="112" t="s">
        <v>196</v>
      </c>
      <c r="D20" s="112" t="s">
        <v>197</v>
      </c>
      <c r="E20" s="159" t="s">
        <v>198</v>
      </c>
      <c r="F20" s="78"/>
      <c r="G20" s="81"/>
      <c r="H20" s="78"/>
      <c r="I20" s="76"/>
      <c r="J20" s="76"/>
      <c r="K20" s="76"/>
      <c r="L20" s="76"/>
      <c r="M20" s="87"/>
      <c r="N20" s="84"/>
      <c r="O20" s="76"/>
      <c r="P20" s="76"/>
      <c r="Q20" s="81"/>
      <c r="R20" s="78"/>
      <c r="S20" s="87"/>
      <c r="T20" s="146"/>
      <c r="U20" s="150"/>
      <c r="V20" s="84"/>
      <c r="W20" s="81"/>
      <c r="X20" s="78"/>
      <c r="Y20" s="76"/>
      <c r="Z20" s="76"/>
      <c r="AA20" s="87"/>
    </row>
    <row r="21" spans="2:27" ht="15" customHeight="1">
      <c r="B21" s="94" t="s">
        <v>48</v>
      </c>
      <c r="C21" s="95">
        <v>1</v>
      </c>
      <c r="D21" s="95" t="s">
        <v>47</v>
      </c>
      <c r="E21" s="96">
        <v>1</v>
      </c>
      <c r="F21" s="140">
        <v>11</v>
      </c>
      <c r="G21" s="141">
        <v>20</v>
      </c>
      <c r="H21" s="140">
        <v>3</v>
      </c>
      <c r="I21" s="138">
        <v>6</v>
      </c>
      <c r="J21" s="138"/>
      <c r="K21" s="138"/>
      <c r="L21" s="71">
        <f aca="true" t="shared" si="0" ref="L21:L52">SUM(H21,J21)</f>
        <v>3</v>
      </c>
      <c r="M21" s="88">
        <f aca="true" t="shared" si="1" ref="M21:M52">SUM(I21,K21)</f>
        <v>6</v>
      </c>
      <c r="N21" s="142">
        <v>2</v>
      </c>
      <c r="O21" s="138"/>
      <c r="P21" s="138">
        <v>9</v>
      </c>
      <c r="Q21" s="141">
        <v>11</v>
      </c>
      <c r="R21" s="140">
        <v>57</v>
      </c>
      <c r="S21" s="143">
        <v>75</v>
      </c>
      <c r="T21" s="147">
        <v>13</v>
      </c>
      <c r="U21" s="151">
        <v>3</v>
      </c>
      <c r="V21" s="148">
        <f aca="true" t="shared" si="2" ref="V21:V40">SUM(L21+Q21+R21-T21-U21)</f>
        <v>55</v>
      </c>
      <c r="W21" s="152">
        <f aca="true" t="shared" si="3" ref="W21:W40">SUM(M21+Q21+S21-T21-U21)</f>
        <v>76</v>
      </c>
      <c r="X21" s="140"/>
      <c r="Y21" s="138"/>
      <c r="Z21" s="138">
        <v>6</v>
      </c>
      <c r="AA21" s="143">
        <v>6</v>
      </c>
    </row>
    <row r="22" spans="2:27" ht="15" customHeight="1">
      <c r="B22" s="97" t="s">
        <v>49</v>
      </c>
      <c r="C22" s="20"/>
      <c r="D22" s="20"/>
      <c r="E22" s="22">
        <v>2</v>
      </c>
      <c r="F22" s="140">
        <v>577</v>
      </c>
      <c r="G22" s="141">
        <v>1166</v>
      </c>
      <c r="H22" s="140">
        <v>188</v>
      </c>
      <c r="I22" s="138">
        <v>454</v>
      </c>
      <c r="J22" s="138">
        <v>9</v>
      </c>
      <c r="K22" s="138">
        <v>37</v>
      </c>
      <c r="L22" s="71">
        <f t="shared" si="0"/>
        <v>197</v>
      </c>
      <c r="M22" s="88">
        <f t="shared" si="1"/>
        <v>491</v>
      </c>
      <c r="N22" s="142">
        <v>22</v>
      </c>
      <c r="O22" s="138"/>
      <c r="P22" s="138">
        <v>67</v>
      </c>
      <c r="Q22" s="141">
        <v>89</v>
      </c>
      <c r="R22" s="140">
        <v>1319</v>
      </c>
      <c r="S22" s="143">
        <v>1954</v>
      </c>
      <c r="T22" s="147">
        <v>238</v>
      </c>
      <c r="U22" s="151">
        <v>33</v>
      </c>
      <c r="V22" s="148">
        <f t="shared" si="2"/>
        <v>1334</v>
      </c>
      <c r="W22" s="152">
        <f t="shared" si="3"/>
        <v>2263</v>
      </c>
      <c r="X22" s="140">
        <v>24</v>
      </c>
      <c r="Y22" s="138">
        <v>24</v>
      </c>
      <c r="Z22" s="138">
        <v>120</v>
      </c>
      <c r="AA22" s="143">
        <v>120</v>
      </c>
    </row>
    <row r="23" spans="2:27" ht="15" customHeight="1">
      <c r="B23" s="97" t="s">
        <v>50</v>
      </c>
      <c r="C23" s="20">
        <v>1</v>
      </c>
      <c r="D23" s="20" t="s">
        <v>47</v>
      </c>
      <c r="E23" s="22">
        <v>3</v>
      </c>
      <c r="F23" s="140">
        <v>33</v>
      </c>
      <c r="G23" s="141">
        <v>64</v>
      </c>
      <c r="H23" s="140">
        <v>13</v>
      </c>
      <c r="I23" s="138">
        <v>28</v>
      </c>
      <c r="J23" s="138"/>
      <c r="K23" s="138">
        <v>1</v>
      </c>
      <c r="L23" s="71">
        <f t="shared" si="0"/>
        <v>13</v>
      </c>
      <c r="M23" s="88">
        <f t="shared" si="1"/>
        <v>29</v>
      </c>
      <c r="N23" s="142">
        <v>11</v>
      </c>
      <c r="O23" s="138"/>
      <c r="P23" s="138">
        <v>10</v>
      </c>
      <c r="Q23" s="141">
        <v>21</v>
      </c>
      <c r="R23" s="140">
        <v>139</v>
      </c>
      <c r="S23" s="143">
        <v>232</v>
      </c>
      <c r="T23" s="147">
        <v>22</v>
      </c>
      <c r="U23" s="151">
        <v>5</v>
      </c>
      <c r="V23" s="148">
        <f t="shared" si="2"/>
        <v>146</v>
      </c>
      <c r="W23" s="152">
        <f t="shared" si="3"/>
        <v>255</v>
      </c>
      <c r="X23" s="140">
        <v>2</v>
      </c>
      <c r="Y23" s="138">
        <v>2</v>
      </c>
      <c r="Z23" s="138">
        <v>10</v>
      </c>
      <c r="AA23" s="143">
        <v>10</v>
      </c>
    </row>
    <row r="24" spans="2:27" ht="15" customHeight="1">
      <c r="B24" s="97" t="s">
        <v>51</v>
      </c>
      <c r="C24" s="20"/>
      <c r="D24" s="20"/>
      <c r="E24" s="21">
        <v>4</v>
      </c>
      <c r="F24" s="140">
        <v>23</v>
      </c>
      <c r="G24" s="141">
        <v>30</v>
      </c>
      <c r="H24" s="140">
        <v>3</v>
      </c>
      <c r="I24" s="138">
        <v>4</v>
      </c>
      <c r="J24" s="138"/>
      <c r="K24" s="138">
        <v>1</v>
      </c>
      <c r="L24" s="71">
        <f t="shared" si="0"/>
        <v>3</v>
      </c>
      <c r="M24" s="88">
        <f t="shared" si="1"/>
        <v>5</v>
      </c>
      <c r="N24" s="142">
        <v>10</v>
      </c>
      <c r="O24" s="138"/>
      <c r="P24" s="138">
        <v>15</v>
      </c>
      <c r="Q24" s="141">
        <v>25</v>
      </c>
      <c r="R24" s="140">
        <v>259</v>
      </c>
      <c r="S24" s="143">
        <v>288</v>
      </c>
      <c r="T24" s="147">
        <v>68</v>
      </c>
      <c r="U24" s="151">
        <v>19</v>
      </c>
      <c r="V24" s="148">
        <f t="shared" si="2"/>
        <v>200</v>
      </c>
      <c r="W24" s="152">
        <f t="shared" si="3"/>
        <v>231</v>
      </c>
      <c r="X24" s="140"/>
      <c r="Y24" s="138"/>
      <c r="Z24" s="138">
        <v>11</v>
      </c>
      <c r="AA24" s="143">
        <v>11</v>
      </c>
    </row>
    <row r="25" spans="2:27" ht="15" customHeight="1">
      <c r="B25" s="97" t="s">
        <v>53</v>
      </c>
      <c r="C25" s="20">
        <v>1</v>
      </c>
      <c r="D25" s="20" t="s">
        <v>52</v>
      </c>
      <c r="E25" s="22">
        <v>5</v>
      </c>
      <c r="F25" s="140">
        <v>8</v>
      </c>
      <c r="G25" s="141">
        <v>17</v>
      </c>
      <c r="H25" s="140">
        <v>4</v>
      </c>
      <c r="I25" s="138">
        <v>8</v>
      </c>
      <c r="J25" s="138"/>
      <c r="K25" s="138"/>
      <c r="L25" s="71">
        <f t="shared" si="0"/>
        <v>4</v>
      </c>
      <c r="M25" s="88">
        <f t="shared" si="1"/>
        <v>8</v>
      </c>
      <c r="N25" s="142"/>
      <c r="O25" s="138"/>
      <c r="P25" s="138">
        <v>2</v>
      </c>
      <c r="Q25" s="141">
        <v>2</v>
      </c>
      <c r="R25" s="140">
        <v>56</v>
      </c>
      <c r="S25" s="143">
        <v>87</v>
      </c>
      <c r="T25" s="147">
        <v>7</v>
      </c>
      <c r="U25" s="151">
        <v>2</v>
      </c>
      <c r="V25" s="148">
        <f t="shared" si="2"/>
        <v>53</v>
      </c>
      <c r="W25" s="152">
        <f t="shared" si="3"/>
        <v>88</v>
      </c>
      <c r="X25" s="140">
        <v>3</v>
      </c>
      <c r="Y25" s="138">
        <v>3</v>
      </c>
      <c r="Z25" s="138">
        <v>5</v>
      </c>
      <c r="AA25" s="143">
        <v>5</v>
      </c>
    </row>
    <row r="26" spans="2:27" ht="15" customHeight="1">
      <c r="B26" s="97" t="s">
        <v>54</v>
      </c>
      <c r="C26" s="20">
        <v>1</v>
      </c>
      <c r="D26" s="20" t="s">
        <v>52</v>
      </c>
      <c r="E26" s="22">
        <v>6</v>
      </c>
      <c r="F26" s="140">
        <v>29</v>
      </c>
      <c r="G26" s="141">
        <v>44</v>
      </c>
      <c r="H26" s="140">
        <v>11</v>
      </c>
      <c r="I26" s="138">
        <v>19</v>
      </c>
      <c r="J26" s="138"/>
      <c r="K26" s="138"/>
      <c r="L26" s="71">
        <f t="shared" si="0"/>
        <v>11</v>
      </c>
      <c r="M26" s="88">
        <f t="shared" si="1"/>
        <v>19</v>
      </c>
      <c r="N26" s="142">
        <v>2</v>
      </c>
      <c r="O26" s="138"/>
      <c r="P26" s="138">
        <v>10</v>
      </c>
      <c r="Q26" s="141">
        <v>12</v>
      </c>
      <c r="R26" s="140">
        <v>131</v>
      </c>
      <c r="S26" s="143">
        <v>185</v>
      </c>
      <c r="T26" s="147">
        <v>27</v>
      </c>
      <c r="U26" s="151">
        <v>10</v>
      </c>
      <c r="V26" s="148">
        <f t="shared" si="2"/>
        <v>117</v>
      </c>
      <c r="W26" s="152">
        <f t="shared" si="3"/>
        <v>179</v>
      </c>
      <c r="X26" s="140">
        <v>1</v>
      </c>
      <c r="Y26" s="138">
        <v>1</v>
      </c>
      <c r="Z26" s="138">
        <v>10</v>
      </c>
      <c r="AA26" s="143">
        <v>10</v>
      </c>
    </row>
    <row r="27" spans="2:27" ht="15" customHeight="1">
      <c r="B27" s="97" t="s">
        <v>55</v>
      </c>
      <c r="C27" s="20"/>
      <c r="D27" s="20"/>
      <c r="E27" s="21">
        <v>7</v>
      </c>
      <c r="F27" s="140">
        <v>71</v>
      </c>
      <c r="G27" s="141">
        <v>100</v>
      </c>
      <c r="H27" s="140">
        <v>15</v>
      </c>
      <c r="I27" s="138">
        <v>27</v>
      </c>
      <c r="J27" s="138">
        <v>1</v>
      </c>
      <c r="K27" s="138">
        <v>6</v>
      </c>
      <c r="L27" s="71">
        <f t="shared" si="0"/>
        <v>16</v>
      </c>
      <c r="M27" s="88">
        <f t="shared" si="1"/>
        <v>33</v>
      </c>
      <c r="N27" s="142">
        <v>32</v>
      </c>
      <c r="O27" s="138"/>
      <c r="P27" s="138">
        <v>42</v>
      </c>
      <c r="Q27" s="141">
        <v>75</v>
      </c>
      <c r="R27" s="140">
        <v>386</v>
      </c>
      <c r="S27" s="143">
        <v>514</v>
      </c>
      <c r="T27" s="147">
        <v>102</v>
      </c>
      <c r="U27" s="151">
        <v>24</v>
      </c>
      <c r="V27" s="148">
        <f t="shared" si="2"/>
        <v>351</v>
      </c>
      <c r="W27" s="152">
        <f t="shared" si="3"/>
        <v>496</v>
      </c>
      <c r="X27" s="140">
        <v>12</v>
      </c>
      <c r="Y27" s="138">
        <v>12</v>
      </c>
      <c r="Z27" s="138">
        <v>34</v>
      </c>
      <c r="AA27" s="143">
        <v>34</v>
      </c>
    </row>
    <row r="28" spans="2:27" ht="15" customHeight="1">
      <c r="B28" s="97" t="s">
        <v>56</v>
      </c>
      <c r="C28" s="20">
        <v>1</v>
      </c>
      <c r="D28" s="20" t="s">
        <v>52</v>
      </c>
      <c r="E28" s="22">
        <v>8</v>
      </c>
      <c r="F28" s="140">
        <v>11</v>
      </c>
      <c r="G28" s="141">
        <v>23</v>
      </c>
      <c r="H28" s="140">
        <v>4</v>
      </c>
      <c r="I28" s="138">
        <v>10</v>
      </c>
      <c r="J28" s="138"/>
      <c r="K28" s="138"/>
      <c r="L28" s="71">
        <f t="shared" si="0"/>
        <v>4</v>
      </c>
      <c r="M28" s="88">
        <f t="shared" si="1"/>
        <v>10</v>
      </c>
      <c r="N28" s="142">
        <v>1</v>
      </c>
      <c r="O28" s="138"/>
      <c r="P28" s="138">
        <v>6</v>
      </c>
      <c r="Q28" s="141">
        <v>8</v>
      </c>
      <c r="R28" s="140">
        <v>55</v>
      </c>
      <c r="S28" s="143">
        <v>86</v>
      </c>
      <c r="T28" s="147">
        <v>7</v>
      </c>
      <c r="U28" s="151">
        <v>1</v>
      </c>
      <c r="V28" s="148">
        <f t="shared" si="2"/>
        <v>59</v>
      </c>
      <c r="W28" s="152">
        <f t="shared" si="3"/>
        <v>96</v>
      </c>
      <c r="X28" s="140">
        <v>1</v>
      </c>
      <c r="Y28" s="138">
        <v>3</v>
      </c>
      <c r="Z28" s="138">
        <v>3</v>
      </c>
      <c r="AA28" s="143">
        <v>3</v>
      </c>
    </row>
    <row r="29" spans="2:27" ht="15" customHeight="1">
      <c r="B29" s="97" t="s">
        <v>57</v>
      </c>
      <c r="C29" s="20"/>
      <c r="D29" s="20"/>
      <c r="E29" s="22">
        <v>9</v>
      </c>
      <c r="F29" s="140">
        <v>83</v>
      </c>
      <c r="G29" s="141">
        <v>111</v>
      </c>
      <c r="H29" s="140">
        <v>17</v>
      </c>
      <c r="I29" s="138">
        <v>29</v>
      </c>
      <c r="J29" s="138">
        <v>1</v>
      </c>
      <c r="K29" s="138">
        <v>4</v>
      </c>
      <c r="L29" s="71">
        <f t="shared" si="0"/>
        <v>18</v>
      </c>
      <c r="M29" s="88">
        <f t="shared" si="1"/>
        <v>33</v>
      </c>
      <c r="N29" s="142">
        <v>12</v>
      </c>
      <c r="O29" s="138"/>
      <c r="P29" s="138">
        <v>17</v>
      </c>
      <c r="Q29" s="141">
        <v>30</v>
      </c>
      <c r="R29" s="140">
        <v>523</v>
      </c>
      <c r="S29" s="143">
        <v>688</v>
      </c>
      <c r="T29" s="147">
        <v>121</v>
      </c>
      <c r="U29" s="151">
        <v>24</v>
      </c>
      <c r="V29" s="148">
        <f t="shared" si="2"/>
        <v>426</v>
      </c>
      <c r="W29" s="152">
        <f t="shared" si="3"/>
        <v>606</v>
      </c>
      <c r="X29" s="140">
        <v>9</v>
      </c>
      <c r="Y29" s="138">
        <v>9</v>
      </c>
      <c r="Z29" s="138">
        <v>26</v>
      </c>
      <c r="AA29" s="143">
        <v>26</v>
      </c>
    </row>
    <row r="30" spans="2:27" ht="15" customHeight="1">
      <c r="B30" s="97" t="s">
        <v>58</v>
      </c>
      <c r="C30" s="20">
        <v>1</v>
      </c>
      <c r="D30" s="20" t="s">
        <v>52</v>
      </c>
      <c r="E30" s="21">
        <v>10</v>
      </c>
      <c r="F30" s="140">
        <v>13</v>
      </c>
      <c r="G30" s="141">
        <v>19</v>
      </c>
      <c r="H30" s="140">
        <v>4</v>
      </c>
      <c r="I30" s="138">
        <v>6</v>
      </c>
      <c r="J30" s="138"/>
      <c r="K30" s="138"/>
      <c r="L30" s="71">
        <f t="shared" si="0"/>
        <v>4</v>
      </c>
      <c r="M30" s="88">
        <f t="shared" si="1"/>
        <v>6</v>
      </c>
      <c r="N30" s="142">
        <v>1</v>
      </c>
      <c r="O30" s="138"/>
      <c r="P30" s="138">
        <v>5</v>
      </c>
      <c r="Q30" s="141">
        <v>7</v>
      </c>
      <c r="R30" s="140">
        <v>88</v>
      </c>
      <c r="S30" s="143">
        <v>117</v>
      </c>
      <c r="T30" s="147">
        <v>17</v>
      </c>
      <c r="U30" s="151">
        <v>7</v>
      </c>
      <c r="V30" s="148">
        <f t="shared" si="2"/>
        <v>75</v>
      </c>
      <c r="W30" s="152">
        <f t="shared" si="3"/>
        <v>106</v>
      </c>
      <c r="X30" s="140">
        <v>1</v>
      </c>
      <c r="Y30" s="138">
        <v>1</v>
      </c>
      <c r="Z30" s="138">
        <v>3</v>
      </c>
      <c r="AA30" s="143">
        <v>3</v>
      </c>
    </row>
    <row r="31" spans="2:27" ht="15" customHeight="1">
      <c r="B31" s="97" t="s">
        <v>59</v>
      </c>
      <c r="C31" s="20"/>
      <c r="D31" s="20"/>
      <c r="E31" s="22">
        <v>11</v>
      </c>
      <c r="F31" s="140">
        <v>348</v>
      </c>
      <c r="G31" s="141">
        <v>584</v>
      </c>
      <c r="H31" s="140">
        <v>149</v>
      </c>
      <c r="I31" s="138">
        <v>277</v>
      </c>
      <c r="J31" s="138"/>
      <c r="K31" s="138">
        <v>4</v>
      </c>
      <c r="L31" s="71">
        <f t="shared" si="0"/>
        <v>149</v>
      </c>
      <c r="M31" s="88">
        <f t="shared" si="1"/>
        <v>281</v>
      </c>
      <c r="N31" s="142">
        <v>47</v>
      </c>
      <c r="O31" s="138">
        <v>5</v>
      </c>
      <c r="P31" s="138">
        <v>86</v>
      </c>
      <c r="Q31" s="141">
        <v>139</v>
      </c>
      <c r="R31" s="140">
        <v>1623</v>
      </c>
      <c r="S31" s="143">
        <v>1965</v>
      </c>
      <c r="T31" s="147">
        <v>394</v>
      </c>
      <c r="U31" s="151">
        <v>53</v>
      </c>
      <c r="V31" s="148">
        <f t="shared" si="2"/>
        <v>1464</v>
      </c>
      <c r="W31" s="152">
        <f t="shared" si="3"/>
        <v>1938</v>
      </c>
      <c r="X31" s="140">
        <v>22</v>
      </c>
      <c r="Y31" s="138">
        <v>22</v>
      </c>
      <c r="Z31" s="138">
        <v>130</v>
      </c>
      <c r="AA31" s="143">
        <v>130</v>
      </c>
    </row>
    <row r="32" spans="2:27" ht="15" customHeight="1">
      <c r="B32" s="97" t="s">
        <v>60</v>
      </c>
      <c r="C32" s="20">
        <v>1</v>
      </c>
      <c r="D32" s="20" t="s">
        <v>47</v>
      </c>
      <c r="E32" s="22">
        <v>12</v>
      </c>
      <c r="F32" s="140">
        <v>10</v>
      </c>
      <c r="G32" s="141">
        <v>22</v>
      </c>
      <c r="H32" s="140">
        <v>7</v>
      </c>
      <c r="I32" s="138">
        <v>15</v>
      </c>
      <c r="J32" s="138"/>
      <c r="K32" s="138"/>
      <c r="L32" s="71">
        <f t="shared" si="0"/>
        <v>7</v>
      </c>
      <c r="M32" s="88">
        <f t="shared" si="1"/>
        <v>15</v>
      </c>
      <c r="N32" s="142"/>
      <c r="O32" s="138"/>
      <c r="P32" s="138">
        <v>9</v>
      </c>
      <c r="Q32" s="141">
        <v>9</v>
      </c>
      <c r="R32" s="140">
        <v>65</v>
      </c>
      <c r="S32" s="143">
        <v>95</v>
      </c>
      <c r="T32" s="147">
        <v>8</v>
      </c>
      <c r="U32" s="151">
        <v>4</v>
      </c>
      <c r="V32" s="148">
        <f t="shared" si="2"/>
        <v>69</v>
      </c>
      <c r="W32" s="152">
        <f t="shared" si="3"/>
        <v>107</v>
      </c>
      <c r="X32" s="140"/>
      <c r="Y32" s="138"/>
      <c r="Z32" s="138">
        <v>5</v>
      </c>
      <c r="AA32" s="143">
        <v>5</v>
      </c>
    </row>
    <row r="33" spans="2:27" ht="15" customHeight="1">
      <c r="B33" s="97" t="s">
        <v>61</v>
      </c>
      <c r="C33" s="20">
        <v>1</v>
      </c>
      <c r="D33" s="20" t="s">
        <v>47</v>
      </c>
      <c r="E33" s="21">
        <v>13</v>
      </c>
      <c r="F33" s="140">
        <v>30</v>
      </c>
      <c r="G33" s="141">
        <v>45</v>
      </c>
      <c r="H33" s="140">
        <v>9</v>
      </c>
      <c r="I33" s="138">
        <v>17</v>
      </c>
      <c r="J33" s="138"/>
      <c r="K33" s="138"/>
      <c r="L33" s="71">
        <f t="shared" si="0"/>
        <v>9</v>
      </c>
      <c r="M33" s="88">
        <f t="shared" si="1"/>
        <v>17</v>
      </c>
      <c r="N33" s="142">
        <v>17</v>
      </c>
      <c r="O33" s="138"/>
      <c r="P33" s="138">
        <v>18</v>
      </c>
      <c r="Q33" s="141">
        <v>35</v>
      </c>
      <c r="R33" s="140">
        <v>88</v>
      </c>
      <c r="S33" s="143">
        <v>112</v>
      </c>
      <c r="T33" s="147">
        <v>30</v>
      </c>
      <c r="U33" s="151">
        <v>6</v>
      </c>
      <c r="V33" s="148">
        <f t="shared" si="2"/>
        <v>96</v>
      </c>
      <c r="W33" s="152">
        <f t="shared" si="3"/>
        <v>128</v>
      </c>
      <c r="X33" s="140">
        <v>1</v>
      </c>
      <c r="Y33" s="138">
        <v>1</v>
      </c>
      <c r="Z33" s="138">
        <v>25</v>
      </c>
      <c r="AA33" s="143">
        <v>25</v>
      </c>
    </row>
    <row r="34" spans="2:27" ht="15" customHeight="1">
      <c r="B34" s="97" t="s">
        <v>62</v>
      </c>
      <c r="C34" s="20"/>
      <c r="D34" s="20"/>
      <c r="E34" s="22">
        <v>14</v>
      </c>
      <c r="F34" s="140">
        <v>293</v>
      </c>
      <c r="G34" s="141">
        <v>424</v>
      </c>
      <c r="H34" s="140">
        <v>69</v>
      </c>
      <c r="I34" s="138">
        <v>130</v>
      </c>
      <c r="J34" s="138">
        <v>2</v>
      </c>
      <c r="K34" s="138">
        <v>11</v>
      </c>
      <c r="L34" s="71">
        <f t="shared" si="0"/>
        <v>71</v>
      </c>
      <c r="M34" s="88">
        <f t="shared" si="1"/>
        <v>141</v>
      </c>
      <c r="N34" s="142">
        <v>19</v>
      </c>
      <c r="O34" s="138"/>
      <c r="P34" s="138">
        <v>129</v>
      </c>
      <c r="Q34" s="141">
        <v>148</v>
      </c>
      <c r="R34" s="140">
        <v>1053</v>
      </c>
      <c r="S34" s="143">
        <v>1395</v>
      </c>
      <c r="T34" s="147">
        <v>250</v>
      </c>
      <c r="U34" s="151">
        <v>39</v>
      </c>
      <c r="V34" s="148">
        <f t="shared" si="2"/>
        <v>983</v>
      </c>
      <c r="W34" s="152">
        <f t="shared" si="3"/>
        <v>1395</v>
      </c>
      <c r="X34" s="140">
        <v>22</v>
      </c>
      <c r="Y34" s="138">
        <v>23</v>
      </c>
      <c r="Z34" s="138">
        <v>87</v>
      </c>
      <c r="AA34" s="143">
        <v>87</v>
      </c>
    </row>
    <row r="35" spans="2:27" ht="15" customHeight="1">
      <c r="B35" s="97" t="s">
        <v>64</v>
      </c>
      <c r="C35" s="20" t="s">
        <v>63</v>
      </c>
      <c r="D35" s="20"/>
      <c r="E35" s="22">
        <v>15</v>
      </c>
      <c r="F35" s="140">
        <v>7809</v>
      </c>
      <c r="G35" s="141">
        <v>16749</v>
      </c>
      <c r="H35" s="140">
        <v>2494</v>
      </c>
      <c r="I35" s="138">
        <v>5817</v>
      </c>
      <c r="J35" s="138">
        <v>170</v>
      </c>
      <c r="K35" s="138">
        <v>701</v>
      </c>
      <c r="L35" s="71">
        <f t="shared" si="0"/>
        <v>2664</v>
      </c>
      <c r="M35" s="88">
        <f t="shared" si="1"/>
        <v>6518</v>
      </c>
      <c r="N35" s="142">
        <v>573</v>
      </c>
      <c r="O35" s="138">
        <v>6</v>
      </c>
      <c r="P35" s="138">
        <v>1213</v>
      </c>
      <c r="Q35" s="141">
        <v>1793</v>
      </c>
      <c r="R35" s="140">
        <v>17788</v>
      </c>
      <c r="S35" s="143">
        <v>28012</v>
      </c>
      <c r="T35" s="147">
        <v>2930</v>
      </c>
      <c r="U35" s="151">
        <v>314</v>
      </c>
      <c r="V35" s="148">
        <f t="shared" si="2"/>
        <v>19001</v>
      </c>
      <c r="W35" s="152">
        <f t="shared" si="3"/>
        <v>33079</v>
      </c>
      <c r="X35" s="140">
        <v>402</v>
      </c>
      <c r="Y35" s="138">
        <v>421</v>
      </c>
      <c r="Z35" s="138">
        <v>1852</v>
      </c>
      <c r="AA35" s="143">
        <v>1853</v>
      </c>
    </row>
    <row r="36" spans="2:27" ht="15" customHeight="1">
      <c r="B36" s="97" t="s">
        <v>65</v>
      </c>
      <c r="C36" s="20">
        <v>1</v>
      </c>
      <c r="D36" s="20" t="s">
        <v>52</v>
      </c>
      <c r="E36" s="21">
        <v>16</v>
      </c>
      <c r="F36" s="140">
        <v>2</v>
      </c>
      <c r="G36" s="141">
        <v>2</v>
      </c>
      <c r="H36" s="140"/>
      <c r="I36" s="138"/>
      <c r="J36" s="138"/>
      <c r="K36" s="138"/>
      <c r="L36" s="71">
        <f t="shared" si="0"/>
        <v>0</v>
      </c>
      <c r="M36" s="88">
        <f t="shared" si="1"/>
        <v>0</v>
      </c>
      <c r="N36" s="142"/>
      <c r="O36" s="138"/>
      <c r="P36" s="138"/>
      <c r="Q36" s="141"/>
      <c r="R36" s="140">
        <v>12</v>
      </c>
      <c r="S36" s="143">
        <v>20</v>
      </c>
      <c r="T36" s="147"/>
      <c r="U36" s="151"/>
      <c r="V36" s="148">
        <f t="shared" si="2"/>
        <v>12</v>
      </c>
      <c r="W36" s="152">
        <f t="shared" si="3"/>
        <v>20</v>
      </c>
      <c r="X36" s="140"/>
      <c r="Y36" s="138"/>
      <c r="Z36" s="138">
        <v>8</v>
      </c>
      <c r="AA36" s="143">
        <v>8</v>
      </c>
    </row>
    <row r="37" spans="2:27" ht="15" customHeight="1">
      <c r="B37" s="97" t="s">
        <v>66</v>
      </c>
      <c r="C37" s="20" t="s">
        <v>63</v>
      </c>
      <c r="D37" s="20"/>
      <c r="E37" s="22">
        <v>17</v>
      </c>
      <c r="F37" s="140">
        <v>1331</v>
      </c>
      <c r="G37" s="141">
        <v>2619</v>
      </c>
      <c r="H37" s="140">
        <v>409</v>
      </c>
      <c r="I37" s="138">
        <v>990</v>
      </c>
      <c r="J37" s="138">
        <v>31</v>
      </c>
      <c r="K37" s="138">
        <v>120</v>
      </c>
      <c r="L37" s="71">
        <f t="shared" si="0"/>
        <v>440</v>
      </c>
      <c r="M37" s="88">
        <f t="shared" si="1"/>
        <v>1110</v>
      </c>
      <c r="N37" s="142">
        <v>49</v>
      </c>
      <c r="O37" s="138"/>
      <c r="P37" s="138">
        <v>248</v>
      </c>
      <c r="Q37" s="141">
        <v>298</v>
      </c>
      <c r="R37" s="140">
        <v>3910</v>
      </c>
      <c r="S37" s="143">
        <v>5506</v>
      </c>
      <c r="T37" s="147">
        <v>917</v>
      </c>
      <c r="U37" s="151">
        <v>193</v>
      </c>
      <c r="V37" s="148">
        <f t="shared" si="2"/>
        <v>3538</v>
      </c>
      <c r="W37" s="152">
        <f t="shared" si="3"/>
        <v>5804</v>
      </c>
      <c r="X37" s="140">
        <v>69</v>
      </c>
      <c r="Y37" s="138">
        <v>70</v>
      </c>
      <c r="Z37" s="138">
        <v>391</v>
      </c>
      <c r="AA37" s="143">
        <v>391</v>
      </c>
    </row>
    <row r="38" spans="2:27" ht="15" customHeight="1">
      <c r="B38" s="97" t="s">
        <v>67</v>
      </c>
      <c r="C38" s="20"/>
      <c r="D38" s="20"/>
      <c r="E38" s="22">
        <v>18</v>
      </c>
      <c r="F38" s="140">
        <v>35</v>
      </c>
      <c r="G38" s="141">
        <v>50</v>
      </c>
      <c r="H38" s="140">
        <v>11</v>
      </c>
      <c r="I38" s="138">
        <v>21</v>
      </c>
      <c r="J38" s="138"/>
      <c r="K38" s="138"/>
      <c r="L38" s="71">
        <f t="shared" si="0"/>
        <v>11</v>
      </c>
      <c r="M38" s="88">
        <f t="shared" si="1"/>
        <v>21</v>
      </c>
      <c r="N38" s="142">
        <v>5</v>
      </c>
      <c r="O38" s="138"/>
      <c r="P38" s="138">
        <v>11</v>
      </c>
      <c r="Q38" s="141">
        <v>16</v>
      </c>
      <c r="R38" s="140">
        <v>270</v>
      </c>
      <c r="S38" s="143">
        <v>343</v>
      </c>
      <c r="T38" s="147">
        <v>62</v>
      </c>
      <c r="U38" s="151">
        <v>18</v>
      </c>
      <c r="V38" s="148">
        <f t="shared" si="2"/>
        <v>217</v>
      </c>
      <c r="W38" s="152">
        <f t="shared" si="3"/>
        <v>300</v>
      </c>
      <c r="X38" s="140">
        <v>1</v>
      </c>
      <c r="Y38" s="138">
        <v>1</v>
      </c>
      <c r="Z38" s="138">
        <v>12</v>
      </c>
      <c r="AA38" s="143">
        <v>12</v>
      </c>
    </row>
    <row r="39" spans="2:27" ht="15" customHeight="1">
      <c r="B39" s="97" t="s">
        <v>68</v>
      </c>
      <c r="C39" s="20">
        <v>1</v>
      </c>
      <c r="D39" s="20" t="s">
        <v>47</v>
      </c>
      <c r="E39" s="21">
        <v>19</v>
      </c>
      <c r="F39" s="140">
        <v>46</v>
      </c>
      <c r="G39" s="141">
        <v>101</v>
      </c>
      <c r="H39" s="140">
        <v>15</v>
      </c>
      <c r="I39" s="138">
        <v>39</v>
      </c>
      <c r="J39" s="138">
        <v>1</v>
      </c>
      <c r="K39" s="138">
        <v>5</v>
      </c>
      <c r="L39" s="71">
        <f t="shared" si="0"/>
        <v>16</v>
      </c>
      <c r="M39" s="88">
        <f t="shared" si="1"/>
        <v>44</v>
      </c>
      <c r="N39" s="142">
        <v>13</v>
      </c>
      <c r="O39" s="138">
        <v>1</v>
      </c>
      <c r="P39" s="138">
        <v>31</v>
      </c>
      <c r="Q39" s="141">
        <v>46</v>
      </c>
      <c r="R39" s="140">
        <v>333</v>
      </c>
      <c r="S39" s="143">
        <v>441</v>
      </c>
      <c r="T39" s="147">
        <v>101</v>
      </c>
      <c r="U39" s="151">
        <v>17</v>
      </c>
      <c r="V39" s="148">
        <f t="shared" si="2"/>
        <v>277</v>
      </c>
      <c r="W39" s="152">
        <f t="shared" si="3"/>
        <v>413</v>
      </c>
      <c r="X39" s="140">
        <v>2</v>
      </c>
      <c r="Y39" s="138">
        <v>2</v>
      </c>
      <c r="Z39" s="138">
        <v>9</v>
      </c>
      <c r="AA39" s="143">
        <v>9</v>
      </c>
    </row>
    <row r="40" spans="2:27" ht="15" customHeight="1">
      <c r="B40" s="97" t="s">
        <v>69</v>
      </c>
      <c r="C40" s="20"/>
      <c r="D40" s="20"/>
      <c r="E40" s="22">
        <v>20</v>
      </c>
      <c r="F40" s="140">
        <v>17</v>
      </c>
      <c r="G40" s="141">
        <v>30</v>
      </c>
      <c r="H40" s="140">
        <v>5</v>
      </c>
      <c r="I40" s="138">
        <v>7</v>
      </c>
      <c r="J40" s="138"/>
      <c r="K40" s="138"/>
      <c r="L40" s="71">
        <f t="shared" si="0"/>
        <v>5</v>
      </c>
      <c r="M40" s="88">
        <f t="shared" si="1"/>
        <v>7</v>
      </c>
      <c r="N40" s="142">
        <v>2</v>
      </c>
      <c r="O40" s="138">
        <v>2</v>
      </c>
      <c r="P40" s="138">
        <v>14</v>
      </c>
      <c r="Q40" s="141">
        <v>18</v>
      </c>
      <c r="R40" s="140">
        <v>103</v>
      </c>
      <c r="S40" s="143">
        <v>144</v>
      </c>
      <c r="T40" s="147">
        <v>21</v>
      </c>
      <c r="U40" s="151">
        <v>4</v>
      </c>
      <c r="V40" s="148">
        <f t="shared" si="2"/>
        <v>101</v>
      </c>
      <c r="W40" s="152">
        <f t="shared" si="3"/>
        <v>144</v>
      </c>
      <c r="X40" s="140">
        <v>3</v>
      </c>
      <c r="Y40" s="138">
        <v>3</v>
      </c>
      <c r="Z40" s="138">
        <v>9</v>
      </c>
      <c r="AA40" s="143">
        <v>9</v>
      </c>
    </row>
    <row r="41" spans="2:27" ht="15" customHeight="1">
      <c r="B41" s="97" t="s">
        <v>70</v>
      </c>
      <c r="C41" s="20">
        <v>1</v>
      </c>
      <c r="D41" s="20" t="s">
        <v>52</v>
      </c>
      <c r="E41" s="22">
        <v>21</v>
      </c>
      <c r="F41" s="140">
        <v>8</v>
      </c>
      <c r="G41" s="141">
        <v>14</v>
      </c>
      <c r="H41" s="140">
        <v>2</v>
      </c>
      <c r="I41" s="138">
        <v>4</v>
      </c>
      <c r="J41" s="138" t="s">
        <v>36</v>
      </c>
      <c r="K41" s="138" t="s">
        <v>36</v>
      </c>
      <c r="L41" s="71">
        <f t="shared" si="0"/>
        <v>2</v>
      </c>
      <c r="M41" s="88">
        <f t="shared" si="1"/>
        <v>4</v>
      </c>
      <c r="N41" s="142"/>
      <c r="O41" s="138"/>
      <c r="P41" s="138">
        <v>3</v>
      </c>
      <c r="Q41" s="141">
        <v>3</v>
      </c>
      <c r="R41" s="140">
        <v>239</v>
      </c>
      <c r="S41" s="143">
        <v>304</v>
      </c>
      <c r="T41" s="147">
        <v>51</v>
      </c>
      <c r="U41" s="151">
        <v>19</v>
      </c>
      <c r="V41" s="148">
        <v>48</v>
      </c>
      <c r="W41" s="152">
        <v>72</v>
      </c>
      <c r="X41" s="140" t="s">
        <v>36</v>
      </c>
      <c r="Y41" s="138" t="s">
        <v>36</v>
      </c>
      <c r="Z41" s="138">
        <v>2</v>
      </c>
      <c r="AA41" s="143">
        <v>2</v>
      </c>
    </row>
    <row r="42" spans="2:27" ht="15" customHeight="1">
      <c r="B42" s="97" t="s">
        <v>71</v>
      </c>
      <c r="C42" s="20">
        <v>1</v>
      </c>
      <c r="D42" s="20" t="s">
        <v>47</v>
      </c>
      <c r="E42" s="21">
        <v>22</v>
      </c>
      <c r="F42" s="140">
        <v>42</v>
      </c>
      <c r="G42" s="141">
        <v>65</v>
      </c>
      <c r="H42" s="140">
        <v>8</v>
      </c>
      <c r="I42" s="138">
        <v>13</v>
      </c>
      <c r="J42" s="138">
        <v>1</v>
      </c>
      <c r="K42" s="138">
        <v>4</v>
      </c>
      <c r="L42" s="71">
        <f t="shared" si="0"/>
        <v>9</v>
      </c>
      <c r="M42" s="88">
        <f t="shared" si="1"/>
        <v>17</v>
      </c>
      <c r="N42" s="142">
        <v>1</v>
      </c>
      <c r="O42" s="138"/>
      <c r="P42" s="138">
        <v>12</v>
      </c>
      <c r="Q42" s="141">
        <v>13</v>
      </c>
      <c r="R42" s="140">
        <v>188</v>
      </c>
      <c r="S42" s="143">
        <v>290</v>
      </c>
      <c r="T42" s="147">
        <v>34</v>
      </c>
      <c r="U42" s="151">
        <v>7</v>
      </c>
      <c r="V42" s="148">
        <f aca="true" t="shared" si="4" ref="V42:V73">SUM(L42+Q42+R42-T42-U42)</f>
        <v>169</v>
      </c>
      <c r="W42" s="152">
        <f aca="true" t="shared" si="5" ref="W42:W73">SUM(M42+Q42+S42-T42-U42)</f>
        <v>279</v>
      </c>
      <c r="X42" s="140">
        <v>3</v>
      </c>
      <c r="Y42" s="138">
        <v>3</v>
      </c>
      <c r="Z42" s="138">
        <v>5</v>
      </c>
      <c r="AA42" s="143">
        <v>5</v>
      </c>
    </row>
    <row r="43" spans="2:27" ht="15" customHeight="1">
      <c r="B43" s="97" t="s">
        <v>72</v>
      </c>
      <c r="C43" s="20"/>
      <c r="D43" s="20"/>
      <c r="E43" s="22">
        <v>23</v>
      </c>
      <c r="F43" s="140">
        <v>27</v>
      </c>
      <c r="G43" s="141">
        <v>41</v>
      </c>
      <c r="H43" s="140">
        <v>6</v>
      </c>
      <c r="I43" s="138">
        <v>9</v>
      </c>
      <c r="J43" s="138"/>
      <c r="K43" s="138"/>
      <c r="L43" s="71">
        <f t="shared" si="0"/>
        <v>6</v>
      </c>
      <c r="M43" s="88">
        <f t="shared" si="1"/>
        <v>9</v>
      </c>
      <c r="N43" s="142">
        <v>1</v>
      </c>
      <c r="O43" s="138">
        <v>3</v>
      </c>
      <c r="P43" s="138">
        <v>9</v>
      </c>
      <c r="Q43" s="141">
        <v>14</v>
      </c>
      <c r="R43" s="140">
        <v>263</v>
      </c>
      <c r="S43" s="143">
        <v>320</v>
      </c>
      <c r="T43" s="147">
        <v>58</v>
      </c>
      <c r="U43" s="151">
        <v>10</v>
      </c>
      <c r="V43" s="148">
        <f t="shared" si="4"/>
        <v>215</v>
      </c>
      <c r="W43" s="152">
        <f t="shared" si="5"/>
        <v>275</v>
      </c>
      <c r="X43" s="140">
        <v>2</v>
      </c>
      <c r="Y43" s="138">
        <v>2</v>
      </c>
      <c r="Z43" s="138">
        <v>8</v>
      </c>
      <c r="AA43" s="143">
        <v>8</v>
      </c>
    </row>
    <row r="44" spans="2:27" ht="15" customHeight="1">
      <c r="B44" s="97" t="s">
        <v>73</v>
      </c>
      <c r="C44" s="20">
        <v>1</v>
      </c>
      <c r="D44" s="20" t="s">
        <v>47</v>
      </c>
      <c r="E44" s="22">
        <v>24</v>
      </c>
      <c r="F44" s="140">
        <v>8</v>
      </c>
      <c r="G44" s="141">
        <v>15</v>
      </c>
      <c r="H44" s="140">
        <v>5</v>
      </c>
      <c r="I44" s="138">
        <v>7</v>
      </c>
      <c r="J44" s="138"/>
      <c r="K44" s="138"/>
      <c r="L44" s="71">
        <f t="shared" si="0"/>
        <v>5</v>
      </c>
      <c r="M44" s="88">
        <f t="shared" si="1"/>
        <v>7</v>
      </c>
      <c r="N44" s="142"/>
      <c r="O44" s="138"/>
      <c r="P44" s="138"/>
      <c r="Q44" s="141"/>
      <c r="R44" s="140">
        <v>49</v>
      </c>
      <c r="S44" s="143">
        <v>77</v>
      </c>
      <c r="T44" s="147">
        <v>5</v>
      </c>
      <c r="U44" s="151">
        <v>3</v>
      </c>
      <c r="V44" s="148">
        <f t="shared" si="4"/>
        <v>46</v>
      </c>
      <c r="W44" s="152">
        <f t="shared" si="5"/>
        <v>76</v>
      </c>
      <c r="X44" s="140"/>
      <c r="Y44" s="138"/>
      <c r="Z44" s="138">
        <v>3</v>
      </c>
      <c r="AA44" s="143">
        <v>3</v>
      </c>
    </row>
    <row r="45" spans="2:27" ht="15" customHeight="1">
      <c r="B45" s="97" t="s">
        <v>74</v>
      </c>
      <c r="C45" s="20"/>
      <c r="D45" s="20"/>
      <c r="E45" s="21">
        <v>25</v>
      </c>
      <c r="F45" s="140">
        <v>69</v>
      </c>
      <c r="G45" s="141">
        <v>97</v>
      </c>
      <c r="H45" s="140">
        <v>10</v>
      </c>
      <c r="I45" s="138">
        <v>21</v>
      </c>
      <c r="J45" s="138"/>
      <c r="K45" s="138"/>
      <c r="L45" s="71">
        <f t="shared" si="0"/>
        <v>10</v>
      </c>
      <c r="M45" s="88">
        <f t="shared" si="1"/>
        <v>21</v>
      </c>
      <c r="N45" s="142">
        <v>56</v>
      </c>
      <c r="O45" s="138">
        <v>1</v>
      </c>
      <c r="P45" s="138">
        <v>49</v>
      </c>
      <c r="Q45" s="141">
        <v>107</v>
      </c>
      <c r="R45" s="140">
        <v>658</v>
      </c>
      <c r="S45" s="143">
        <v>752</v>
      </c>
      <c r="T45" s="147">
        <v>196</v>
      </c>
      <c r="U45" s="151">
        <v>31</v>
      </c>
      <c r="V45" s="148">
        <f t="shared" si="4"/>
        <v>548</v>
      </c>
      <c r="W45" s="152">
        <f t="shared" si="5"/>
        <v>653</v>
      </c>
      <c r="X45" s="140">
        <v>6</v>
      </c>
      <c r="Y45" s="138">
        <v>6</v>
      </c>
      <c r="Z45" s="138">
        <v>11</v>
      </c>
      <c r="AA45" s="143">
        <v>11</v>
      </c>
    </row>
    <row r="46" spans="2:27" ht="15" customHeight="1">
      <c r="B46" s="97" t="s">
        <v>76</v>
      </c>
      <c r="C46" s="20">
        <v>1</v>
      </c>
      <c r="D46" s="20" t="s">
        <v>75</v>
      </c>
      <c r="E46" s="22">
        <v>26</v>
      </c>
      <c r="F46" s="140">
        <v>19</v>
      </c>
      <c r="G46" s="141">
        <v>34</v>
      </c>
      <c r="H46" s="140">
        <v>4</v>
      </c>
      <c r="I46" s="138">
        <v>10</v>
      </c>
      <c r="J46" s="138"/>
      <c r="K46" s="138"/>
      <c r="L46" s="71">
        <f t="shared" si="0"/>
        <v>4</v>
      </c>
      <c r="M46" s="88">
        <f t="shared" si="1"/>
        <v>10</v>
      </c>
      <c r="N46" s="142">
        <v>10</v>
      </c>
      <c r="O46" s="138"/>
      <c r="P46" s="138">
        <v>31</v>
      </c>
      <c r="Q46" s="141">
        <v>42</v>
      </c>
      <c r="R46" s="140">
        <v>222</v>
      </c>
      <c r="S46" s="143">
        <v>252</v>
      </c>
      <c r="T46" s="147">
        <v>74</v>
      </c>
      <c r="U46" s="151">
        <v>21</v>
      </c>
      <c r="V46" s="148">
        <f t="shared" si="4"/>
        <v>173</v>
      </c>
      <c r="W46" s="152">
        <f t="shared" si="5"/>
        <v>209</v>
      </c>
      <c r="X46" s="140">
        <v>1</v>
      </c>
      <c r="Y46" s="138">
        <v>1</v>
      </c>
      <c r="Z46" s="138">
        <v>6</v>
      </c>
      <c r="AA46" s="143">
        <v>6</v>
      </c>
    </row>
    <row r="47" spans="2:27" ht="15" customHeight="1">
      <c r="B47" s="97" t="s">
        <v>77</v>
      </c>
      <c r="C47" s="20"/>
      <c r="D47" s="20"/>
      <c r="E47" s="22">
        <v>27</v>
      </c>
      <c r="F47" s="140">
        <v>106</v>
      </c>
      <c r="G47" s="141">
        <v>169</v>
      </c>
      <c r="H47" s="140">
        <v>19</v>
      </c>
      <c r="I47" s="138">
        <v>38</v>
      </c>
      <c r="J47" s="138">
        <v>1</v>
      </c>
      <c r="K47" s="138">
        <v>8</v>
      </c>
      <c r="L47" s="71">
        <f t="shared" si="0"/>
        <v>20</v>
      </c>
      <c r="M47" s="88">
        <f t="shared" si="1"/>
        <v>46</v>
      </c>
      <c r="N47" s="142">
        <v>7</v>
      </c>
      <c r="O47" s="138"/>
      <c r="P47" s="138">
        <v>55</v>
      </c>
      <c r="Q47" s="141">
        <v>63</v>
      </c>
      <c r="R47" s="140">
        <v>389</v>
      </c>
      <c r="S47" s="143">
        <v>577</v>
      </c>
      <c r="T47" s="147">
        <v>87</v>
      </c>
      <c r="U47" s="151">
        <v>12</v>
      </c>
      <c r="V47" s="148">
        <f t="shared" si="4"/>
        <v>373</v>
      </c>
      <c r="W47" s="152">
        <f t="shared" si="5"/>
        <v>587</v>
      </c>
      <c r="X47" s="140">
        <v>11</v>
      </c>
      <c r="Y47" s="138">
        <v>11</v>
      </c>
      <c r="Z47" s="138">
        <v>27</v>
      </c>
      <c r="AA47" s="143">
        <v>27</v>
      </c>
    </row>
    <row r="48" spans="2:27" ht="15" customHeight="1">
      <c r="B48" s="97" t="s">
        <v>78</v>
      </c>
      <c r="C48" s="20"/>
      <c r="D48" s="20"/>
      <c r="E48" s="21">
        <v>28</v>
      </c>
      <c r="F48" s="140">
        <v>112</v>
      </c>
      <c r="G48" s="141">
        <v>196</v>
      </c>
      <c r="H48" s="140">
        <v>33</v>
      </c>
      <c r="I48" s="138">
        <v>68</v>
      </c>
      <c r="J48" s="138">
        <v>1</v>
      </c>
      <c r="K48" s="138">
        <v>5</v>
      </c>
      <c r="L48" s="71">
        <f t="shared" si="0"/>
        <v>34</v>
      </c>
      <c r="M48" s="88">
        <f t="shared" si="1"/>
        <v>73</v>
      </c>
      <c r="N48" s="142">
        <v>12</v>
      </c>
      <c r="O48" s="138"/>
      <c r="P48" s="138">
        <v>32</v>
      </c>
      <c r="Q48" s="141">
        <v>44</v>
      </c>
      <c r="R48" s="140">
        <v>628</v>
      </c>
      <c r="S48" s="143">
        <v>860</v>
      </c>
      <c r="T48" s="147">
        <v>134</v>
      </c>
      <c r="U48" s="151">
        <v>26</v>
      </c>
      <c r="V48" s="148">
        <f t="shared" si="4"/>
        <v>546</v>
      </c>
      <c r="W48" s="152">
        <f t="shared" si="5"/>
        <v>817</v>
      </c>
      <c r="X48" s="140">
        <v>9</v>
      </c>
      <c r="Y48" s="138">
        <v>9</v>
      </c>
      <c r="Z48" s="138">
        <v>28</v>
      </c>
      <c r="AA48" s="143">
        <v>28</v>
      </c>
    </row>
    <row r="49" spans="2:27" ht="15" customHeight="1">
      <c r="B49" s="97" t="s">
        <v>79</v>
      </c>
      <c r="C49" s="20">
        <v>1</v>
      </c>
      <c r="D49" s="20" t="s">
        <v>52</v>
      </c>
      <c r="E49" s="22">
        <v>29</v>
      </c>
      <c r="F49" s="140">
        <v>1</v>
      </c>
      <c r="G49" s="141">
        <v>2</v>
      </c>
      <c r="H49" s="140"/>
      <c r="I49" s="138"/>
      <c r="J49" s="138"/>
      <c r="K49" s="138"/>
      <c r="L49" s="71">
        <f t="shared" si="0"/>
        <v>0</v>
      </c>
      <c r="M49" s="88">
        <f t="shared" si="1"/>
        <v>0</v>
      </c>
      <c r="N49" s="142"/>
      <c r="O49" s="138"/>
      <c r="P49" s="138">
        <v>2</v>
      </c>
      <c r="Q49" s="141">
        <v>2</v>
      </c>
      <c r="R49" s="140">
        <v>17</v>
      </c>
      <c r="S49" s="143">
        <v>28</v>
      </c>
      <c r="T49" s="147">
        <v>2</v>
      </c>
      <c r="U49" s="151">
        <v>1</v>
      </c>
      <c r="V49" s="148">
        <f t="shared" si="4"/>
        <v>16</v>
      </c>
      <c r="W49" s="152">
        <f t="shared" si="5"/>
        <v>27</v>
      </c>
      <c r="X49" s="140"/>
      <c r="Y49" s="138"/>
      <c r="Z49" s="138">
        <v>1</v>
      </c>
      <c r="AA49" s="143">
        <v>1</v>
      </c>
    </row>
    <row r="50" spans="2:27" ht="15" customHeight="1">
      <c r="B50" s="97" t="s">
        <v>80</v>
      </c>
      <c r="C50" s="20">
        <v>1</v>
      </c>
      <c r="D50" s="20" t="s">
        <v>47</v>
      </c>
      <c r="E50" s="22">
        <v>30</v>
      </c>
      <c r="F50" s="140">
        <v>18</v>
      </c>
      <c r="G50" s="141">
        <v>26</v>
      </c>
      <c r="H50" s="140">
        <v>5</v>
      </c>
      <c r="I50" s="138">
        <v>10</v>
      </c>
      <c r="J50" s="138"/>
      <c r="K50" s="138"/>
      <c r="L50" s="71">
        <f t="shared" si="0"/>
        <v>5</v>
      </c>
      <c r="M50" s="88">
        <f t="shared" si="1"/>
        <v>10</v>
      </c>
      <c r="N50" s="142">
        <v>2</v>
      </c>
      <c r="O50" s="138">
        <v>2</v>
      </c>
      <c r="P50" s="138">
        <v>22</v>
      </c>
      <c r="Q50" s="141">
        <v>27</v>
      </c>
      <c r="R50" s="140">
        <v>117</v>
      </c>
      <c r="S50" s="143">
        <v>163</v>
      </c>
      <c r="T50" s="147">
        <v>35</v>
      </c>
      <c r="U50" s="151">
        <v>2</v>
      </c>
      <c r="V50" s="148">
        <f t="shared" si="4"/>
        <v>112</v>
      </c>
      <c r="W50" s="152">
        <f t="shared" si="5"/>
        <v>163</v>
      </c>
      <c r="X50" s="140">
        <v>1</v>
      </c>
      <c r="Y50" s="138">
        <v>1</v>
      </c>
      <c r="Z50" s="138">
        <v>6</v>
      </c>
      <c r="AA50" s="143">
        <v>6</v>
      </c>
    </row>
    <row r="51" spans="2:27" ht="15" customHeight="1">
      <c r="B51" s="97" t="s">
        <v>81</v>
      </c>
      <c r="C51" s="20">
        <v>1</v>
      </c>
      <c r="D51" s="20" t="s">
        <v>52</v>
      </c>
      <c r="E51" s="21">
        <v>31</v>
      </c>
      <c r="F51" s="140">
        <v>7</v>
      </c>
      <c r="G51" s="141">
        <v>8</v>
      </c>
      <c r="H51" s="140">
        <v>1</v>
      </c>
      <c r="I51" s="138">
        <v>2</v>
      </c>
      <c r="J51" s="138"/>
      <c r="K51" s="138"/>
      <c r="L51" s="71">
        <f t="shared" si="0"/>
        <v>1</v>
      </c>
      <c r="M51" s="88">
        <f t="shared" si="1"/>
        <v>2</v>
      </c>
      <c r="N51" s="142"/>
      <c r="O51" s="138"/>
      <c r="P51" s="138">
        <v>4</v>
      </c>
      <c r="Q51" s="141">
        <v>5</v>
      </c>
      <c r="R51" s="140">
        <v>40</v>
      </c>
      <c r="S51" s="143">
        <v>59</v>
      </c>
      <c r="T51" s="147">
        <v>4</v>
      </c>
      <c r="U51" s="151">
        <v>2</v>
      </c>
      <c r="V51" s="148">
        <f t="shared" si="4"/>
        <v>40</v>
      </c>
      <c r="W51" s="152">
        <f t="shared" si="5"/>
        <v>60</v>
      </c>
      <c r="X51" s="140"/>
      <c r="Y51" s="138"/>
      <c r="Z51" s="138">
        <v>2</v>
      </c>
      <c r="AA51" s="143">
        <v>2</v>
      </c>
    </row>
    <row r="52" spans="2:27" ht="15" customHeight="1">
      <c r="B52" s="97" t="s">
        <v>82</v>
      </c>
      <c r="C52" s="20"/>
      <c r="D52" s="20"/>
      <c r="E52" s="22">
        <v>32</v>
      </c>
      <c r="F52" s="140">
        <v>72</v>
      </c>
      <c r="G52" s="141">
        <v>124</v>
      </c>
      <c r="H52" s="140">
        <v>17</v>
      </c>
      <c r="I52" s="138">
        <v>27</v>
      </c>
      <c r="J52" s="138">
        <v>2</v>
      </c>
      <c r="K52" s="138">
        <v>8</v>
      </c>
      <c r="L52" s="71">
        <f t="shared" si="0"/>
        <v>19</v>
      </c>
      <c r="M52" s="88">
        <f t="shared" si="1"/>
        <v>35</v>
      </c>
      <c r="N52" s="142">
        <v>1</v>
      </c>
      <c r="O52" s="138">
        <v>1</v>
      </c>
      <c r="P52" s="138">
        <v>30</v>
      </c>
      <c r="Q52" s="141">
        <v>33</v>
      </c>
      <c r="R52" s="140">
        <v>335</v>
      </c>
      <c r="S52" s="143">
        <v>518</v>
      </c>
      <c r="T52" s="147">
        <v>63</v>
      </c>
      <c r="U52" s="151">
        <v>15</v>
      </c>
      <c r="V52" s="148">
        <f t="shared" si="4"/>
        <v>309</v>
      </c>
      <c r="W52" s="152">
        <f t="shared" si="5"/>
        <v>508</v>
      </c>
      <c r="X52" s="140">
        <v>6</v>
      </c>
      <c r="Y52" s="138">
        <v>6</v>
      </c>
      <c r="Z52" s="138">
        <v>26</v>
      </c>
      <c r="AA52" s="143">
        <v>26</v>
      </c>
    </row>
    <row r="53" spans="2:27" ht="15" customHeight="1">
      <c r="B53" s="97" t="s">
        <v>83</v>
      </c>
      <c r="C53" s="20"/>
      <c r="D53" s="20"/>
      <c r="E53" s="22">
        <v>33</v>
      </c>
      <c r="F53" s="140">
        <v>77</v>
      </c>
      <c r="G53" s="141">
        <v>119</v>
      </c>
      <c r="H53" s="140">
        <v>21</v>
      </c>
      <c r="I53" s="138">
        <v>38</v>
      </c>
      <c r="J53" s="138"/>
      <c r="K53" s="138"/>
      <c r="L53" s="71">
        <f aca="true" t="shared" si="6" ref="L53:L84">SUM(H53,J53)</f>
        <v>21</v>
      </c>
      <c r="M53" s="88">
        <f aca="true" t="shared" si="7" ref="M53:M84">SUM(I53,K53)</f>
        <v>38</v>
      </c>
      <c r="N53" s="142">
        <v>18</v>
      </c>
      <c r="O53" s="138"/>
      <c r="P53" s="138">
        <v>19</v>
      </c>
      <c r="Q53" s="141">
        <v>38</v>
      </c>
      <c r="R53" s="140">
        <v>730</v>
      </c>
      <c r="S53" s="143">
        <v>844</v>
      </c>
      <c r="T53" s="147">
        <v>171</v>
      </c>
      <c r="U53" s="151">
        <v>61</v>
      </c>
      <c r="V53" s="148">
        <f t="shared" si="4"/>
        <v>557</v>
      </c>
      <c r="W53" s="152">
        <f t="shared" si="5"/>
        <v>688</v>
      </c>
      <c r="X53" s="140">
        <v>7</v>
      </c>
      <c r="Y53" s="138">
        <v>7</v>
      </c>
      <c r="Z53" s="138">
        <v>22</v>
      </c>
      <c r="AA53" s="143">
        <v>22</v>
      </c>
    </row>
    <row r="54" spans="2:27" ht="15" customHeight="1">
      <c r="B54" s="97" t="s">
        <v>84</v>
      </c>
      <c r="C54" s="20" t="s">
        <v>63</v>
      </c>
      <c r="D54" s="20"/>
      <c r="E54" s="21">
        <v>34</v>
      </c>
      <c r="F54" s="140">
        <v>1111</v>
      </c>
      <c r="G54" s="141">
        <v>1863</v>
      </c>
      <c r="H54" s="140">
        <v>248</v>
      </c>
      <c r="I54" s="138">
        <v>489</v>
      </c>
      <c r="J54" s="138">
        <v>14</v>
      </c>
      <c r="K54" s="138">
        <v>39</v>
      </c>
      <c r="L54" s="71">
        <f t="shared" si="6"/>
        <v>262</v>
      </c>
      <c r="M54" s="88">
        <f t="shared" si="7"/>
        <v>528</v>
      </c>
      <c r="N54" s="142">
        <v>156</v>
      </c>
      <c r="O54" s="138"/>
      <c r="P54" s="138">
        <v>305</v>
      </c>
      <c r="Q54" s="141">
        <v>462</v>
      </c>
      <c r="R54" s="140">
        <v>4837</v>
      </c>
      <c r="S54" s="143">
        <v>6520</v>
      </c>
      <c r="T54" s="147">
        <v>1051</v>
      </c>
      <c r="U54" s="151">
        <v>205</v>
      </c>
      <c r="V54" s="148">
        <f t="shared" si="4"/>
        <v>4305</v>
      </c>
      <c r="W54" s="152">
        <f t="shared" si="5"/>
        <v>6254</v>
      </c>
      <c r="X54" s="140">
        <v>64</v>
      </c>
      <c r="Y54" s="138">
        <v>64</v>
      </c>
      <c r="Z54" s="138">
        <v>348</v>
      </c>
      <c r="AA54" s="143">
        <v>348</v>
      </c>
    </row>
    <row r="55" spans="2:27" ht="15" customHeight="1">
      <c r="B55" s="97" t="s">
        <v>85</v>
      </c>
      <c r="C55" s="20"/>
      <c r="D55" s="20"/>
      <c r="E55" s="22">
        <v>35</v>
      </c>
      <c r="F55" s="140">
        <v>21</v>
      </c>
      <c r="G55" s="141">
        <v>26</v>
      </c>
      <c r="H55" s="140">
        <v>2</v>
      </c>
      <c r="I55" s="138">
        <v>4</v>
      </c>
      <c r="J55" s="138"/>
      <c r="K55" s="138"/>
      <c r="L55" s="71">
        <f t="shared" si="6"/>
        <v>2</v>
      </c>
      <c r="M55" s="88">
        <f t="shared" si="7"/>
        <v>4</v>
      </c>
      <c r="N55" s="142">
        <v>2</v>
      </c>
      <c r="O55" s="138"/>
      <c r="P55" s="138">
        <v>9</v>
      </c>
      <c r="Q55" s="141">
        <v>11</v>
      </c>
      <c r="R55" s="140">
        <v>234</v>
      </c>
      <c r="S55" s="143">
        <v>271</v>
      </c>
      <c r="T55" s="147">
        <v>66</v>
      </c>
      <c r="U55" s="151">
        <v>13</v>
      </c>
      <c r="V55" s="148">
        <f t="shared" si="4"/>
        <v>168</v>
      </c>
      <c r="W55" s="152">
        <f t="shared" si="5"/>
        <v>207</v>
      </c>
      <c r="X55" s="140">
        <v>1</v>
      </c>
      <c r="Y55" s="138">
        <v>1</v>
      </c>
      <c r="Z55" s="138">
        <v>7</v>
      </c>
      <c r="AA55" s="143">
        <v>7</v>
      </c>
    </row>
    <row r="56" spans="2:27" ht="15" customHeight="1">
      <c r="B56" s="97" t="s">
        <v>86</v>
      </c>
      <c r="C56" s="20">
        <v>1</v>
      </c>
      <c r="D56" s="20" t="s">
        <v>75</v>
      </c>
      <c r="E56" s="22">
        <v>36</v>
      </c>
      <c r="F56" s="140">
        <v>32</v>
      </c>
      <c r="G56" s="141">
        <v>59</v>
      </c>
      <c r="H56" s="140">
        <v>6</v>
      </c>
      <c r="I56" s="138">
        <v>17</v>
      </c>
      <c r="J56" s="138"/>
      <c r="K56" s="138">
        <v>2</v>
      </c>
      <c r="L56" s="71">
        <f t="shared" si="6"/>
        <v>6</v>
      </c>
      <c r="M56" s="88">
        <f t="shared" si="7"/>
        <v>19</v>
      </c>
      <c r="N56" s="142">
        <v>7</v>
      </c>
      <c r="O56" s="138"/>
      <c r="P56" s="138">
        <v>39</v>
      </c>
      <c r="Q56" s="141">
        <v>47</v>
      </c>
      <c r="R56" s="140">
        <v>191</v>
      </c>
      <c r="S56" s="143">
        <v>263</v>
      </c>
      <c r="T56" s="147">
        <v>32</v>
      </c>
      <c r="U56" s="151">
        <v>11</v>
      </c>
      <c r="V56" s="148">
        <f t="shared" si="4"/>
        <v>201</v>
      </c>
      <c r="W56" s="152">
        <f t="shared" si="5"/>
        <v>286</v>
      </c>
      <c r="X56" s="140">
        <v>2</v>
      </c>
      <c r="Y56" s="138">
        <v>2</v>
      </c>
      <c r="Z56" s="138">
        <v>11</v>
      </c>
      <c r="AA56" s="143">
        <v>11</v>
      </c>
    </row>
    <row r="57" spans="2:27" ht="15" customHeight="1">
      <c r="B57" s="97" t="s">
        <v>87</v>
      </c>
      <c r="C57" s="20"/>
      <c r="D57" s="20"/>
      <c r="E57" s="21">
        <v>37</v>
      </c>
      <c r="F57" s="140">
        <v>304</v>
      </c>
      <c r="G57" s="141">
        <v>594</v>
      </c>
      <c r="H57" s="140">
        <v>81</v>
      </c>
      <c r="I57" s="138">
        <v>185</v>
      </c>
      <c r="J57" s="138">
        <v>5</v>
      </c>
      <c r="K57" s="138">
        <v>22</v>
      </c>
      <c r="L57" s="71">
        <f t="shared" si="6"/>
        <v>86</v>
      </c>
      <c r="M57" s="88">
        <f t="shared" si="7"/>
        <v>207</v>
      </c>
      <c r="N57" s="142">
        <v>13</v>
      </c>
      <c r="O57" s="138"/>
      <c r="P57" s="138">
        <v>36</v>
      </c>
      <c r="Q57" s="141">
        <v>49</v>
      </c>
      <c r="R57" s="140">
        <v>958</v>
      </c>
      <c r="S57" s="143">
        <v>1325</v>
      </c>
      <c r="T57" s="147">
        <v>222</v>
      </c>
      <c r="U57" s="151">
        <v>19</v>
      </c>
      <c r="V57" s="148">
        <f t="shared" si="4"/>
        <v>852</v>
      </c>
      <c r="W57" s="152">
        <f t="shared" si="5"/>
        <v>1340</v>
      </c>
      <c r="X57" s="140">
        <v>12</v>
      </c>
      <c r="Y57" s="138">
        <v>13</v>
      </c>
      <c r="Z57" s="138">
        <v>67</v>
      </c>
      <c r="AA57" s="143">
        <v>67</v>
      </c>
    </row>
    <row r="58" spans="2:27" ht="15" customHeight="1">
      <c r="B58" s="97" t="s">
        <v>88</v>
      </c>
      <c r="C58" s="20">
        <v>1</v>
      </c>
      <c r="D58" s="20" t="s">
        <v>75</v>
      </c>
      <c r="E58" s="22">
        <v>38</v>
      </c>
      <c r="F58" s="140">
        <v>12</v>
      </c>
      <c r="G58" s="141">
        <v>23</v>
      </c>
      <c r="H58" s="140">
        <v>11</v>
      </c>
      <c r="I58" s="138">
        <v>22</v>
      </c>
      <c r="J58" s="138"/>
      <c r="K58" s="138"/>
      <c r="L58" s="71">
        <f t="shared" si="6"/>
        <v>11</v>
      </c>
      <c r="M58" s="88">
        <f t="shared" si="7"/>
        <v>22</v>
      </c>
      <c r="N58" s="142"/>
      <c r="O58" s="138"/>
      <c r="P58" s="138">
        <v>8</v>
      </c>
      <c r="Q58" s="141">
        <v>8</v>
      </c>
      <c r="R58" s="140">
        <v>193</v>
      </c>
      <c r="S58" s="143">
        <v>225</v>
      </c>
      <c r="T58" s="147">
        <v>37</v>
      </c>
      <c r="U58" s="151">
        <v>9</v>
      </c>
      <c r="V58" s="148">
        <f t="shared" si="4"/>
        <v>166</v>
      </c>
      <c r="W58" s="152">
        <f t="shared" si="5"/>
        <v>209</v>
      </c>
      <c r="X58" s="140"/>
      <c r="Y58" s="138"/>
      <c r="Z58" s="138">
        <v>3</v>
      </c>
      <c r="AA58" s="143">
        <v>3</v>
      </c>
    </row>
    <row r="59" spans="2:27" ht="15" customHeight="1">
      <c r="B59" s="97" t="s">
        <v>89</v>
      </c>
      <c r="C59" s="20"/>
      <c r="D59" s="20"/>
      <c r="E59" s="21">
        <v>40</v>
      </c>
      <c r="F59" s="140">
        <v>20</v>
      </c>
      <c r="G59" s="141">
        <v>38</v>
      </c>
      <c r="H59" s="140">
        <v>4</v>
      </c>
      <c r="I59" s="138">
        <v>14</v>
      </c>
      <c r="J59" s="138"/>
      <c r="K59" s="138">
        <v>2</v>
      </c>
      <c r="L59" s="71">
        <f t="shared" si="6"/>
        <v>4</v>
      </c>
      <c r="M59" s="88">
        <f t="shared" si="7"/>
        <v>16</v>
      </c>
      <c r="N59" s="142">
        <v>2</v>
      </c>
      <c r="O59" s="138"/>
      <c r="P59" s="138">
        <v>4</v>
      </c>
      <c r="Q59" s="141">
        <v>6</v>
      </c>
      <c r="R59" s="140">
        <v>83</v>
      </c>
      <c r="S59" s="143">
        <v>129</v>
      </c>
      <c r="T59" s="147">
        <v>17</v>
      </c>
      <c r="U59" s="151">
        <v>8</v>
      </c>
      <c r="V59" s="148">
        <f t="shared" si="4"/>
        <v>68</v>
      </c>
      <c r="W59" s="152">
        <f t="shared" si="5"/>
        <v>126</v>
      </c>
      <c r="X59" s="140">
        <v>1</v>
      </c>
      <c r="Y59" s="138">
        <v>1</v>
      </c>
      <c r="Z59" s="138">
        <v>3</v>
      </c>
      <c r="AA59" s="143">
        <v>3</v>
      </c>
    </row>
    <row r="60" spans="2:27" ht="15" customHeight="1">
      <c r="B60" s="97" t="s">
        <v>90</v>
      </c>
      <c r="C60" s="20"/>
      <c r="D60" s="20"/>
      <c r="E60" s="22">
        <v>41</v>
      </c>
      <c r="F60" s="140">
        <v>43</v>
      </c>
      <c r="G60" s="141">
        <v>71</v>
      </c>
      <c r="H60" s="140">
        <v>14</v>
      </c>
      <c r="I60" s="138">
        <v>29</v>
      </c>
      <c r="J60" s="138"/>
      <c r="K60" s="138"/>
      <c r="L60" s="71">
        <f t="shared" si="6"/>
        <v>14</v>
      </c>
      <c r="M60" s="88">
        <f t="shared" si="7"/>
        <v>29</v>
      </c>
      <c r="N60" s="142">
        <v>1</v>
      </c>
      <c r="O60" s="138">
        <v>1</v>
      </c>
      <c r="P60" s="138">
        <v>23</v>
      </c>
      <c r="Q60" s="141">
        <v>25</v>
      </c>
      <c r="R60" s="140">
        <v>263</v>
      </c>
      <c r="S60" s="143">
        <v>340</v>
      </c>
      <c r="T60" s="147">
        <v>58</v>
      </c>
      <c r="U60" s="151">
        <v>19</v>
      </c>
      <c r="V60" s="148">
        <f t="shared" si="4"/>
        <v>225</v>
      </c>
      <c r="W60" s="152">
        <f t="shared" si="5"/>
        <v>317</v>
      </c>
      <c r="X60" s="140">
        <v>1</v>
      </c>
      <c r="Y60" s="138">
        <v>1</v>
      </c>
      <c r="Z60" s="138">
        <v>10</v>
      </c>
      <c r="AA60" s="143">
        <v>10</v>
      </c>
    </row>
    <row r="61" spans="2:27" ht="15" customHeight="1">
      <c r="B61" s="97" t="s">
        <v>91</v>
      </c>
      <c r="C61" s="20"/>
      <c r="D61" s="20"/>
      <c r="E61" s="22">
        <v>42</v>
      </c>
      <c r="F61" s="140">
        <v>65</v>
      </c>
      <c r="G61" s="141">
        <v>109</v>
      </c>
      <c r="H61" s="140">
        <v>19</v>
      </c>
      <c r="I61" s="138">
        <v>43</v>
      </c>
      <c r="J61" s="138"/>
      <c r="K61" s="138"/>
      <c r="L61" s="71">
        <f t="shared" si="6"/>
        <v>19</v>
      </c>
      <c r="M61" s="88">
        <f t="shared" si="7"/>
        <v>43</v>
      </c>
      <c r="N61" s="142">
        <v>7</v>
      </c>
      <c r="O61" s="138">
        <v>1</v>
      </c>
      <c r="P61" s="138">
        <v>60</v>
      </c>
      <c r="Q61" s="141">
        <v>68</v>
      </c>
      <c r="R61" s="140">
        <v>345</v>
      </c>
      <c r="S61" s="143">
        <v>481</v>
      </c>
      <c r="T61" s="147">
        <v>78</v>
      </c>
      <c r="U61" s="151">
        <v>21</v>
      </c>
      <c r="V61" s="148">
        <f t="shared" si="4"/>
        <v>333</v>
      </c>
      <c r="W61" s="152">
        <f t="shared" si="5"/>
        <v>493</v>
      </c>
      <c r="X61" s="140">
        <v>4</v>
      </c>
      <c r="Y61" s="138">
        <v>5</v>
      </c>
      <c r="Z61" s="138">
        <v>21</v>
      </c>
      <c r="AA61" s="143">
        <v>21</v>
      </c>
    </row>
    <row r="62" spans="2:27" ht="15" customHeight="1">
      <c r="B62" s="97" t="s">
        <v>92</v>
      </c>
      <c r="C62" s="20"/>
      <c r="D62" s="20"/>
      <c r="E62" s="21">
        <v>43</v>
      </c>
      <c r="F62" s="140">
        <v>1658</v>
      </c>
      <c r="G62" s="141">
        <v>3250</v>
      </c>
      <c r="H62" s="140">
        <v>579</v>
      </c>
      <c r="I62" s="138">
        <v>1308</v>
      </c>
      <c r="J62" s="138">
        <v>16</v>
      </c>
      <c r="K62" s="138">
        <v>59</v>
      </c>
      <c r="L62" s="71">
        <f t="shared" si="6"/>
        <v>595</v>
      </c>
      <c r="M62" s="88">
        <f t="shared" si="7"/>
        <v>1367</v>
      </c>
      <c r="N62" s="142">
        <v>132</v>
      </c>
      <c r="O62" s="138">
        <v>5</v>
      </c>
      <c r="P62" s="138">
        <v>321</v>
      </c>
      <c r="Q62" s="141">
        <v>459</v>
      </c>
      <c r="R62" s="140">
        <v>4468</v>
      </c>
      <c r="S62" s="143">
        <v>6490</v>
      </c>
      <c r="T62" s="147">
        <v>962</v>
      </c>
      <c r="U62" s="151">
        <v>140</v>
      </c>
      <c r="V62" s="148">
        <f t="shared" si="4"/>
        <v>4420</v>
      </c>
      <c r="W62" s="152">
        <f t="shared" si="5"/>
        <v>7214</v>
      </c>
      <c r="X62" s="140">
        <v>93</v>
      </c>
      <c r="Y62" s="138">
        <v>95</v>
      </c>
      <c r="Z62" s="138">
        <v>352</v>
      </c>
      <c r="AA62" s="143">
        <v>352</v>
      </c>
    </row>
    <row r="63" spans="2:27" ht="15" customHeight="1">
      <c r="B63" s="97" t="s">
        <v>93</v>
      </c>
      <c r="C63" s="20"/>
      <c r="D63" s="20"/>
      <c r="E63" s="22">
        <v>44</v>
      </c>
      <c r="F63" s="140">
        <v>573</v>
      </c>
      <c r="G63" s="141">
        <v>947</v>
      </c>
      <c r="H63" s="140">
        <v>159</v>
      </c>
      <c r="I63" s="138">
        <v>357</v>
      </c>
      <c r="J63" s="138">
        <v>2</v>
      </c>
      <c r="K63" s="138">
        <v>7</v>
      </c>
      <c r="L63" s="71">
        <f t="shared" si="6"/>
        <v>161</v>
      </c>
      <c r="M63" s="88">
        <f t="shared" si="7"/>
        <v>364</v>
      </c>
      <c r="N63" s="142">
        <v>55</v>
      </c>
      <c r="O63" s="138"/>
      <c r="P63" s="138">
        <v>156</v>
      </c>
      <c r="Q63" s="141">
        <v>211</v>
      </c>
      <c r="R63" s="140">
        <v>1503</v>
      </c>
      <c r="S63" s="143">
        <v>2057</v>
      </c>
      <c r="T63" s="147">
        <v>351</v>
      </c>
      <c r="U63" s="151">
        <v>46</v>
      </c>
      <c r="V63" s="148">
        <f t="shared" si="4"/>
        <v>1478</v>
      </c>
      <c r="W63" s="152">
        <f t="shared" si="5"/>
        <v>2235</v>
      </c>
      <c r="X63" s="140">
        <v>26</v>
      </c>
      <c r="Y63" s="138">
        <v>28</v>
      </c>
      <c r="Z63" s="138">
        <v>153</v>
      </c>
      <c r="AA63" s="143">
        <v>153</v>
      </c>
    </row>
    <row r="64" spans="2:27" ht="15" customHeight="1">
      <c r="B64" s="97" t="s">
        <v>94</v>
      </c>
      <c r="C64" s="20"/>
      <c r="D64" s="20"/>
      <c r="E64" s="22">
        <v>45</v>
      </c>
      <c r="F64" s="140">
        <v>90</v>
      </c>
      <c r="G64" s="141">
        <v>151</v>
      </c>
      <c r="H64" s="140">
        <v>25</v>
      </c>
      <c r="I64" s="138">
        <v>58</v>
      </c>
      <c r="J64" s="138"/>
      <c r="K64" s="138">
        <v>4</v>
      </c>
      <c r="L64" s="71">
        <f t="shared" si="6"/>
        <v>25</v>
      </c>
      <c r="M64" s="88">
        <f t="shared" si="7"/>
        <v>62</v>
      </c>
      <c r="N64" s="142">
        <v>10</v>
      </c>
      <c r="O64" s="138">
        <v>1</v>
      </c>
      <c r="P64" s="138">
        <v>37</v>
      </c>
      <c r="Q64" s="141">
        <v>48</v>
      </c>
      <c r="R64" s="140">
        <v>473</v>
      </c>
      <c r="S64" s="143">
        <v>627</v>
      </c>
      <c r="T64" s="147">
        <v>118</v>
      </c>
      <c r="U64" s="151">
        <v>18</v>
      </c>
      <c r="V64" s="148">
        <f t="shared" si="4"/>
        <v>410</v>
      </c>
      <c r="W64" s="152">
        <f t="shared" si="5"/>
        <v>601</v>
      </c>
      <c r="X64" s="140">
        <v>7</v>
      </c>
      <c r="Y64" s="138">
        <v>7</v>
      </c>
      <c r="Z64" s="138">
        <v>30</v>
      </c>
      <c r="AA64" s="143">
        <v>30</v>
      </c>
    </row>
    <row r="65" spans="2:27" ht="15" customHeight="1">
      <c r="B65" s="97" t="s">
        <v>95</v>
      </c>
      <c r="C65" s="20"/>
      <c r="D65" s="20"/>
      <c r="E65" s="22">
        <v>47</v>
      </c>
      <c r="F65" s="140">
        <v>96</v>
      </c>
      <c r="G65" s="141">
        <v>163</v>
      </c>
      <c r="H65" s="140">
        <v>19</v>
      </c>
      <c r="I65" s="138">
        <v>41</v>
      </c>
      <c r="J65" s="138"/>
      <c r="K65" s="138">
        <v>1</v>
      </c>
      <c r="L65" s="71">
        <f t="shared" si="6"/>
        <v>19</v>
      </c>
      <c r="M65" s="88">
        <f t="shared" si="7"/>
        <v>42</v>
      </c>
      <c r="N65" s="142">
        <v>9</v>
      </c>
      <c r="O65" s="138">
        <v>1</v>
      </c>
      <c r="P65" s="138">
        <v>22</v>
      </c>
      <c r="Q65" s="141">
        <v>33</v>
      </c>
      <c r="R65" s="140">
        <v>612</v>
      </c>
      <c r="S65" s="143">
        <v>772</v>
      </c>
      <c r="T65" s="147">
        <v>156</v>
      </c>
      <c r="U65" s="151">
        <v>28</v>
      </c>
      <c r="V65" s="148">
        <f t="shared" si="4"/>
        <v>480</v>
      </c>
      <c r="W65" s="152">
        <f t="shared" si="5"/>
        <v>663</v>
      </c>
      <c r="X65" s="140">
        <v>5</v>
      </c>
      <c r="Y65" s="138">
        <v>5</v>
      </c>
      <c r="Z65" s="138">
        <v>21</v>
      </c>
      <c r="AA65" s="143">
        <v>21</v>
      </c>
    </row>
    <row r="66" spans="2:27" ht="15" customHeight="1">
      <c r="B66" s="97" t="s">
        <v>96</v>
      </c>
      <c r="C66" s="20">
        <v>1</v>
      </c>
      <c r="D66" s="20" t="s">
        <v>52</v>
      </c>
      <c r="E66" s="22">
        <v>39</v>
      </c>
      <c r="F66" s="140">
        <v>11</v>
      </c>
      <c r="G66" s="141">
        <v>22</v>
      </c>
      <c r="H66" s="140"/>
      <c r="I66" s="138">
        <v>1</v>
      </c>
      <c r="J66" s="138"/>
      <c r="K66" s="138">
        <v>1</v>
      </c>
      <c r="L66" s="71">
        <f t="shared" si="6"/>
        <v>0</v>
      </c>
      <c r="M66" s="88">
        <f t="shared" si="7"/>
        <v>2</v>
      </c>
      <c r="N66" s="142"/>
      <c r="O66" s="138"/>
      <c r="P66" s="138">
        <v>3</v>
      </c>
      <c r="Q66" s="141">
        <v>3</v>
      </c>
      <c r="R66" s="140">
        <v>34</v>
      </c>
      <c r="S66" s="143">
        <v>56</v>
      </c>
      <c r="T66" s="147">
        <v>4</v>
      </c>
      <c r="U66" s="151">
        <v>1</v>
      </c>
      <c r="V66" s="148">
        <f t="shared" si="4"/>
        <v>32</v>
      </c>
      <c r="W66" s="152">
        <f t="shared" si="5"/>
        <v>56</v>
      </c>
      <c r="X66" s="140"/>
      <c r="Y66" s="138"/>
      <c r="Z66" s="138">
        <v>4</v>
      </c>
      <c r="AA66" s="143">
        <v>4</v>
      </c>
    </row>
    <row r="67" spans="2:27" ht="15" customHeight="1">
      <c r="B67" s="97" t="s">
        <v>105</v>
      </c>
      <c r="C67" s="20">
        <v>1</v>
      </c>
      <c r="D67" s="20" t="s">
        <v>47</v>
      </c>
      <c r="E67" s="21">
        <v>46</v>
      </c>
      <c r="F67" s="140">
        <v>4</v>
      </c>
      <c r="G67" s="141">
        <v>5</v>
      </c>
      <c r="H67" s="140"/>
      <c r="I67" s="138"/>
      <c r="J67" s="138"/>
      <c r="K67" s="138"/>
      <c r="L67" s="71">
        <f t="shared" si="6"/>
        <v>0</v>
      </c>
      <c r="M67" s="88">
        <f t="shared" si="7"/>
        <v>0</v>
      </c>
      <c r="N67" s="142">
        <v>1</v>
      </c>
      <c r="O67" s="138"/>
      <c r="P67" s="138">
        <v>7</v>
      </c>
      <c r="Q67" s="141">
        <v>8</v>
      </c>
      <c r="R67" s="140">
        <v>47</v>
      </c>
      <c r="S67" s="143">
        <v>52</v>
      </c>
      <c r="T67" s="147">
        <v>9</v>
      </c>
      <c r="U67" s="151">
        <v>3</v>
      </c>
      <c r="V67" s="148">
        <f t="shared" si="4"/>
        <v>43</v>
      </c>
      <c r="W67" s="152">
        <f t="shared" si="5"/>
        <v>48</v>
      </c>
      <c r="X67" s="140"/>
      <c r="Y67" s="138"/>
      <c r="Z67" s="138">
        <v>4</v>
      </c>
      <c r="AA67" s="143">
        <v>4</v>
      </c>
    </row>
    <row r="68" spans="2:27" ht="15" customHeight="1">
      <c r="B68" s="97" t="s">
        <v>106</v>
      </c>
      <c r="C68" s="20"/>
      <c r="D68" s="20"/>
      <c r="E68" s="22">
        <v>48</v>
      </c>
      <c r="F68" s="140">
        <v>66</v>
      </c>
      <c r="G68" s="141">
        <v>92</v>
      </c>
      <c r="H68" s="140">
        <v>21</v>
      </c>
      <c r="I68" s="138">
        <v>36</v>
      </c>
      <c r="J68" s="138">
        <v>1</v>
      </c>
      <c r="K68" s="138">
        <v>3</v>
      </c>
      <c r="L68" s="71">
        <f t="shared" si="6"/>
        <v>22</v>
      </c>
      <c r="M68" s="88">
        <f t="shared" si="7"/>
        <v>39</v>
      </c>
      <c r="N68" s="142">
        <v>1</v>
      </c>
      <c r="O68" s="138"/>
      <c r="P68" s="138">
        <v>23</v>
      </c>
      <c r="Q68" s="141">
        <v>24</v>
      </c>
      <c r="R68" s="140">
        <v>240</v>
      </c>
      <c r="S68" s="143">
        <v>338</v>
      </c>
      <c r="T68" s="147">
        <v>54</v>
      </c>
      <c r="U68" s="151">
        <v>13</v>
      </c>
      <c r="V68" s="148">
        <f t="shared" si="4"/>
        <v>219</v>
      </c>
      <c r="W68" s="152">
        <f t="shared" si="5"/>
        <v>334</v>
      </c>
      <c r="X68" s="140">
        <v>6</v>
      </c>
      <c r="Y68" s="138">
        <v>8</v>
      </c>
      <c r="Z68" s="138">
        <v>16</v>
      </c>
      <c r="AA68" s="143">
        <v>16</v>
      </c>
    </row>
    <row r="69" spans="2:27" ht="15" customHeight="1">
      <c r="B69" s="97" t="s">
        <v>107</v>
      </c>
      <c r="C69" s="20"/>
      <c r="D69" s="20"/>
      <c r="E69" s="21">
        <v>49</v>
      </c>
      <c r="F69" s="140">
        <v>408</v>
      </c>
      <c r="G69" s="141">
        <v>816</v>
      </c>
      <c r="H69" s="140">
        <v>135</v>
      </c>
      <c r="I69" s="138">
        <v>317</v>
      </c>
      <c r="J69" s="138">
        <v>10</v>
      </c>
      <c r="K69" s="138">
        <v>36</v>
      </c>
      <c r="L69" s="71">
        <f t="shared" si="6"/>
        <v>145</v>
      </c>
      <c r="M69" s="88">
        <f t="shared" si="7"/>
        <v>353</v>
      </c>
      <c r="N69" s="142">
        <v>74</v>
      </c>
      <c r="O69" s="138"/>
      <c r="P69" s="138">
        <v>109</v>
      </c>
      <c r="Q69" s="141">
        <v>183</v>
      </c>
      <c r="R69" s="140">
        <v>1877</v>
      </c>
      <c r="S69" s="143">
        <v>2614</v>
      </c>
      <c r="T69" s="147">
        <v>461</v>
      </c>
      <c r="U69" s="151">
        <v>94</v>
      </c>
      <c r="V69" s="148">
        <f t="shared" si="4"/>
        <v>1650</v>
      </c>
      <c r="W69" s="152">
        <f t="shared" si="5"/>
        <v>2595</v>
      </c>
      <c r="X69" s="140">
        <v>19</v>
      </c>
      <c r="Y69" s="138">
        <v>19</v>
      </c>
      <c r="Z69" s="138">
        <v>86</v>
      </c>
      <c r="AA69" s="143">
        <v>86</v>
      </c>
    </row>
    <row r="70" spans="2:27" ht="15" customHeight="1">
      <c r="B70" s="97" t="s">
        <v>108</v>
      </c>
      <c r="C70" s="20">
        <v>1</v>
      </c>
      <c r="D70" s="20" t="s">
        <v>75</v>
      </c>
      <c r="E70" s="22">
        <v>50</v>
      </c>
      <c r="F70" s="140">
        <v>30</v>
      </c>
      <c r="G70" s="141">
        <v>51</v>
      </c>
      <c r="H70" s="140">
        <v>5</v>
      </c>
      <c r="I70" s="138">
        <v>13</v>
      </c>
      <c r="J70" s="138"/>
      <c r="K70" s="138"/>
      <c r="L70" s="71">
        <f t="shared" si="6"/>
        <v>5</v>
      </c>
      <c r="M70" s="88">
        <f t="shared" si="7"/>
        <v>13</v>
      </c>
      <c r="N70" s="142">
        <v>23</v>
      </c>
      <c r="O70" s="138"/>
      <c r="P70" s="138">
        <v>68</v>
      </c>
      <c r="Q70" s="141">
        <v>92</v>
      </c>
      <c r="R70" s="140">
        <v>166</v>
      </c>
      <c r="S70" s="143">
        <v>223</v>
      </c>
      <c r="T70" s="147">
        <v>75</v>
      </c>
      <c r="U70" s="151">
        <v>13</v>
      </c>
      <c r="V70" s="148">
        <f t="shared" si="4"/>
        <v>175</v>
      </c>
      <c r="W70" s="152">
        <f t="shared" si="5"/>
        <v>240</v>
      </c>
      <c r="X70" s="140">
        <v>2</v>
      </c>
      <c r="Y70" s="138">
        <v>2</v>
      </c>
      <c r="Z70" s="138">
        <v>4</v>
      </c>
      <c r="AA70" s="143">
        <v>4</v>
      </c>
    </row>
    <row r="71" spans="2:27" ht="15" customHeight="1">
      <c r="B71" s="97" t="s">
        <v>109</v>
      </c>
      <c r="C71" s="20" t="s">
        <v>63</v>
      </c>
      <c r="D71" s="20"/>
      <c r="E71" s="22">
        <v>51</v>
      </c>
      <c r="F71" s="140">
        <v>166</v>
      </c>
      <c r="G71" s="141">
        <v>246</v>
      </c>
      <c r="H71" s="140">
        <v>45</v>
      </c>
      <c r="I71" s="138">
        <v>87</v>
      </c>
      <c r="J71" s="138">
        <v>2</v>
      </c>
      <c r="K71" s="138">
        <v>8</v>
      </c>
      <c r="L71" s="71">
        <f t="shared" si="6"/>
        <v>47</v>
      </c>
      <c r="M71" s="88">
        <f t="shared" si="7"/>
        <v>95</v>
      </c>
      <c r="N71" s="142">
        <v>18</v>
      </c>
      <c r="O71" s="138"/>
      <c r="P71" s="138">
        <v>67</v>
      </c>
      <c r="Q71" s="141">
        <v>85</v>
      </c>
      <c r="R71" s="140">
        <v>1568</v>
      </c>
      <c r="S71" s="143">
        <v>1803</v>
      </c>
      <c r="T71" s="147">
        <v>370</v>
      </c>
      <c r="U71" s="151">
        <v>79</v>
      </c>
      <c r="V71" s="148">
        <f t="shared" si="4"/>
        <v>1251</v>
      </c>
      <c r="W71" s="152">
        <f t="shared" si="5"/>
        <v>1534</v>
      </c>
      <c r="X71" s="140">
        <v>20</v>
      </c>
      <c r="Y71" s="138">
        <v>23</v>
      </c>
      <c r="Z71" s="138">
        <v>66</v>
      </c>
      <c r="AA71" s="143">
        <v>66</v>
      </c>
    </row>
    <row r="72" spans="2:27" ht="15" customHeight="1">
      <c r="B72" s="97" t="s">
        <v>110</v>
      </c>
      <c r="C72" s="20"/>
      <c r="D72" s="20"/>
      <c r="E72" s="21">
        <v>52</v>
      </c>
      <c r="F72" s="140">
        <v>150</v>
      </c>
      <c r="G72" s="141">
        <v>214</v>
      </c>
      <c r="H72" s="140">
        <v>22</v>
      </c>
      <c r="I72" s="138">
        <v>41</v>
      </c>
      <c r="J72" s="138"/>
      <c r="K72" s="138">
        <v>2</v>
      </c>
      <c r="L72" s="71">
        <f t="shared" si="6"/>
        <v>22</v>
      </c>
      <c r="M72" s="88">
        <f t="shared" si="7"/>
        <v>43</v>
      </c>
      <c r="N72" s="142">
        <v>30</v>
      </c>
      <c r="O72" s="138">
        <v>2</v>
      </c>
      <c r="P72" s="138">
        <v>117</v>
      </c>
      <c r="Q72" s="141">
        <v>149</v>
      </c>
      <c r="R72" s="140">
        <v>710</v>
      </c>
      <c r="S72" s="143">
        <v>845</v>
      </c>
      <c r="T72" s="147">
        <v>224</v>
      </c>
      <c r="U72" s="151">
        <v>40</v>
      </c>
      <c r="V72" s="148">
        <f t="shared" si="4"/>
        <v>617</v>
      </c>
      <c r="W72" s="152">
        <f t="shared" si="5"/>
        <v>773</v>
      </c>
      <c r="X72" s="140">
        <v>12</v>
      </c>
      <c r="Y72" s="138">
        <v>12</v>
      </c>
      <c r="Z72" s="138">
        <v>32</v>
      </c>
      <c r="AA72" s="143">
        <v>32</v>
      </c>
    </row>
    <row r="73" spans="2:27" ht="15" customHeight="1">
      <c r="B73" s="97" t="s">
        <v>111</v>
      </c>
      <c r="C73" s="20">
        <v>1</v>
      </c>
      <c r="D73" s="20" t="s">
        <v>47</v>
      </c>
      <c r="E73" s="22">
        <v>53</v>
      </c>
      <c r="F73" s="140">
        <v>8</v>
      </c>
      <c r="G73" s="141">
        <v>14</v>
      </c>
      <c r="H73" s="140">
        <v>3</v>
      </c>
      <c r="I73" s="138">
        <v>8</v>
      </c>
      <c r="J73" s="138"/>
      <c r="K73" s="138"/>
      <c r="L73" s="71">
        <f t="shared" si="6"/>
        <v>3</v>
      </c>
      <c r="M73" s="88">
        <f t="shared" si="7"/>
        <v>8</v>
      </c>
      <c r="N73" s="142">
        <v>1</v>
      </c>
      <c r="O73" s="138"/>
      <c r="P73" s="138">
        <v>3</v>
      </c>
      <c r="Q73" s="141">
        <v>4</v>
      </c>
      <c r="R73" s="140">
        <v>59</v>
      </c>
      <c r="S73" s="143">
        <v>76</v>
      </c>
      <c r="T73" s="147">
        <v>12</v>
      </c>
      <c r="U73" s="151">
        <v>1</v>
      </c>
      <c r="V73" s="148">
        <f t="shared" si="4"/>
        <v>53</v>
      </c>
      <c r="W73" s="152">
        <f t="shared" si="5"/>
        <v>75</v>
      </c>
      <c r="X73" s="140"/>
      <c r="Y73" s="138"/>
      <c r="Z73" s="138">
        <v>2</v>
      </c>
      <c r="AA73" s="143">
        <v>2</v>
      </c>
    </row>
    <row r="74" spans="2:27" ht="15" customHeight="1">
      <c r="B74" s="97" t="s">
        <v>112</v>
      </c>
      <c r="C74" s="20"/>
      <c r="D74" s="20"/>
      <c r="E74" s="22">
        <v>54</v>
      </c>
      <c r="F74" s="140">
        <v>126</v>
      </c>
      <c r="G74" s="141">
        <v>209</v>
      </c>
      <c r="H74" s="140">
        <v>23</v>
      </c>
      <c r="I74" s="138">
        <v>47</v>
      </c>
      <c r="J74" s="138"/>
      <c r="K74" s="138"/>
      <c r="L74" s="71">
        <f t="shared" si="6"/>
        <v>23</v>
      </c>
      <c r="M74" s="88">
        <f t="shared" si="7"/>
        <v>47</v>
      </c>
      <c r="N74" s="142">
        <v>29</v>
      </c>
      <c r="O74" s="138">
        <v>2</v>
      </c>
      <c r="P74" s="138">
        <v>44</v>
      </c>
      <c r="Q74" s="141">
        <v>76</v>
      </c>
      <c r="R74" s="140">
        <v>742</v>
      </c>
      <c r="S74" s="143">
        <v>942</v>
      </c>
      <c r="T74" s="147">
        <v>203</v>
      </c>
      <c r="U74" s="151">
        <v>45</v>
      </c>
      <c r="V74" s="148">
        <f aca="true" t="shared" si="8" ref="V74:V105">SUM(L74+Q74+R74-T74-U74)</f>
        <v>593</v>
      </c>
      <c r="W74" s="152">
        <f aca="true" t="shared" si="9" ref="W74:W105">SUM(M74+Q74+S74-T74-U74)</f>
        <v>817</v>
      </c>
      <c r="X74" s="140">
        <v>10</v>
      </c>
      <c r="Y74" s="138">
        <v>10</v>
      </c>
      <c r="Z74" s="138">
        <v>40</v>
      </c>
      <c r="AA74" s="143">
        <v>40</v>
      </c>
    </row>
    <row r="75" spans="2:27" ht="15" customHeight="1">
      <c r="B75" s="97" t="s">
        <v>113</v>
      </c>
      <c r="C75" s="20">
        <v>1</v>
      </c>
      <c r="D75" s="20" t="s">
        <v>52</v>
      </c>
      <c r="E75" s="21">
        <v>55</v>
      </c>
      <c r="F75" s="140">
        <v>15</v>
      </c>
      <c r="G75" s="141">
        <v>19</v>
      </c>
      <c r="H75" s="140">
        <v>3</v>
      </c>
      <c r="I75" s="138">
        <v>4</v>
      </c>
      <c r="J75" s="138"/>
      <c r="K75" s="138"/>
      <c r="L75" s="71">
        <f t="shared" si="6"/>
        <v>3</v>
      </c>
      <c r="M75" s="88">
        <f t="shared" si="7"/>
        <v>4</v>
      </c>
      <c r="N75" s="142">
        <v>2</v>
      </c>
      <c r="O75" s="138"/>
      <c r="P75" s="138">
        <v>5</v>
      </c>
      <c r="Q75" s="141">
        <v>7</v>
      </c>
      <c r="R75" s="140">
        <v>55</v>
      </c>
      <c r="S75" s="143">
        <v>77</v>
      </c>
      <c r="T75" s="147">
        <v>12</v>
      </c>
      <c r="U75" s="151">
        <v>1</v>
      </c>
      <c r="V75" s="148">
        <f t="shared" si="8"/>
        <v>52</v>
      </c>
      <c r="W75" s="152">
        <f t="shared" si="9"/>
        <v>75</v>
      </c>
      <c r="X75" s="140">
        <v>1</v>
      </c>
      <c r="Y75" s="138">
        <v>1</v>
      </c>
      <c r="Z75" s="138">
        <v>3</v>
      </c>
      <c r="AA75" s="143">
        <v>3</v>
      </c>
    </row>
    <row r="76" spans="2:27" ht="15" customHeight="1">
      <c r="B76" s="97" t="s">
        <v>114</v>
      </c>
      <c r="C76" s="20"/>
      <c r="D76" s="20"/>
      <c r="E76" s="22">
        <v>56</v>
      </c>
      <c r="F76" s="140">
        <v>29</v>
      </c>
      <c r="G76" s="141">
        <v>43</v>
      </c>
      <c r="H76" s="140">
        <v>6</v>
      </c>
      <c r="I76" s="138">
        <v>12</v>
      </c>
      <c r="J76" s="138"/>
      <c r="K76" s="138">
        <v>1</v>
      </c>
      <c r="L76" s="71">
        <f t="shared" si="6"/>
        <v>6</v>
      </c>
      <c r="M76" s="88">
        <f t="shared" si="7"/>
        <v>13</v>
      </c>
      <c r="N76" s="142">
        <v>1</v>
      </c>
      <c r="O76" s="138"/>
      <c r="P76" s="138">
        <v>7</v>
      </c>
      <c r="Q76" s="141">
        <v>8</v>
      </c>
      <c r="R76" s="140">
        <v>238</v>
      </c>
      <c r="S76" s="143">
        <v>295</v>
      </c>
      <c r="T76" s="147">
        <v>52</v>
      </c>
      <c r="U76" s="151">
        <v>18</v>
      </c>
      <c r="V76" s="148">
        <f t="shared" si="8"/>
        <v>182</v>
      </c>
      <c r="W76" s="152">
        <f t="shared" si="9"/>
        <v>246</v>
      </c>
      <c r="X76" s="140">
        <v>3</v>
      </c>
      <c r="Y76" s="138">
        <v>3</v>
      </c>
      <c r="Z76" s="138">
        <v>10</v>
      </c>
      <c r="AA76" s="143">
        <v>10</v>
      </c>
    </row>
    <row r="77" spans="2:27" ht="15" customHeight="1">
      <c r="B77" s="97" t="s">
        <v>115</v>
      </c>
      <c r="C77" s="20" t="s">
        <v>63</v>
      </c>
      <c r="D77" s="20"/>
      <c r="E77" s="22">
        <v>57</v>
      </c>
      <c r="F77" s="140">
        <v>186</v>
      </c>
      <c r="G77" s="141">
        <v>285</v>
      </c>
      <c r="H77" s="140">
        <v>40</v>
      </c>
      <c r="I77" s="138">
        <v>74</v>
      </c>
      <c r="J77" s="138">
        <v>1</v>
      </c>
      <c r="K77" s="138">
        <v>6</v>
      </c>
      <c r="L77" s="71">
        <f t="shared" si="6"/>
        <v>41</v>
      </c>
      <c r="M77" s="88">
        <f t="shared" si="7"/>
        <v>80</v>
      </c>
      <c r="N77" s="142">
        <v>74</v>
      </c>
      <c r="O77" s="138"/>
      <c r="P77" s="138">
        <v>76</v>
      </c>
      <c r="Q77" s="141">
        <v>151</v>
      </c>
      <c r="R77" s="140">
        <v>1320</v>
      </c>
      <c r="S77" s="143">
        <v>1577</v>
      </c>
      <c r="T77" s="147">
        <v>319</v>
      </c>
      <c r="U77" s="151">
        <v>82</v>
      </c>
      <c r="V77" s="148">
        <f t="shared" si="8"/>
        <v>1111</v>
      </c>
      <c r="W77" s="152">
        <f t="shared" si="9"/>
        <v>1407</v>
      </c>
      <c r="X77" s="140">
        <v>13</v>
      </c>
      <c r="Y77" s="138">
        <v>14</v>
      </c>
      <c r="Z77" s="138">
        <v>42</v>
      </c>
      <c r="AA77" s="143">
        <v>42</v>
      </c>
    </row>
    <row r="78" spans="2:27" ht="15" customHeight="1">
      <c r="B78" s="97" t="s">
        <v>116</v>
      </c>
      <c r="C78" s="20"/>
      <c r="D78" s="20"/>
      <c r="E78" s="21">
        <v>58</v>
      </c>
      <c r="F78" s="140">
        <v>163</v>
      </c>
      <c r="G78" s="141">
        <v>280</v>
      </c>
      <c r="H78" s="140">
        <v>37</v>
      </c>
      <c r="I78" s="138">
        <v>73</v>
      </c>
      <c r="J78" s="138">
        <v>2</v>
      </c>
      <c r="K78" s="138">
        <v>7</v>
      </c>
      <c r="L78" s="71">
        <f t="shared" si="6"/>
        <v>39</v>
      </c>
      <c r="M78" s="88">
        <f t="shared" si="7"/>
        <v>80</v>
      </c>
      <c r="N78" s="142">
        <v>11</v>
      </c>
      <c r="O78" s="138"/>
      <c r="P78" s="138">
        <v>36</v>
      </c>
      <c r="Q78" s="141">
        <v>48</v>
      </c>
      <c r="R78" s="140">
        <v>586</v>
      </c>
      <c r="S78" s="143">
        <v>839</v>
      </c>
      <c r="T78" s="147">
        <v>144</v>
      </c>
      <c r="U78" s="151">
        <v>22</v>
      </c>
      <c r="V78" s="148">
        <f t="shared" si="8"/>
        <v>507</v>
      </c>
      <c r="W78" s="152">
        <f t="shared" si="9"/>
        <v>801</v>
      </c>
      <c r="X78" s="140">
        <v>12</v>
      </c>
      <c r="Y78" s="138">
        <v>12</v>
      </c>
      <c r="Z78" s="138">
        <v>35</v>
      </c>
      <c r="AA78" s="143">
        <v>35</v>
      </c>
    </row>
    <row r="79" spans="2:27" ht="15" customHeight="1">
      <c r="B79" s="97" t="s">
        <v>117</v>
      </c>
      <c r="C79" s="20"/>
      <c r="D79" s="20"/>
      <c r="E79" s="22">
        <v>59</v>
      </c>
      <c r="F79" s="140">
        <v>586</v>
      </c>
      <c r="G79" s="141">
        <v>1139</v>
      </c>
      <c r="H79" s="140">
        <v>214</v>
      </c>
      <c r="I79" s="138">
        <v>473</v>
      </c>
      <c r="J79" s="138">
        <v>10</v>
      </c>
      <c r="K79" s="138">
        <v>38</v>
      </c>
      <c r="L79" s="71">
        <f t="shared" si="6"/>
        <v>224</v>
      </c>
      <c r="M79" s="88">
        <f t="shared" si="7"/>
        <v>511</v>
      </c>
      <c r="N79" s="142">
        <v>62</v>
      </c>
      <c r="O79" s="138">
        <v>1</v>
      </c>
      <c r="P79" s="138">
        <v>124</v>
      </c>
      <c r="Q79" s="141">
        <v>188</v>
      </c>
      <c r="R79" s="140">
        <v>1824</v>
      </c>
      <c r="S79" s="143">
        <v>2573</v>
      </c>
      <c r="T79" s="147">
        <v>399</v>
      </c>
      <c r="U79" s="151">
        <v>76</v>
      </c>
      <c r="V79" s="148">
        <f t="shared" si="8"/>
        <v>1761</v>
      </c>
      <c r="W79" s="152">
        <f t="shared" si="9"/>
        <v>2797</v>
      </c>
      <c r="X79" s="140">
        <v>20</v>
      </c>
      <c r="Y79" s="138">
        <v>20</v>
      </c>
      <c r="Z79" s="138">
        <v>87</v>
      </c>
      <c r="AA79" s="143">
        <v>87</v>
      </c>
    </row>
    <row r="80" spans="2:27" ht="15" customHeight="1">
      <c r="B80" s="97" t="s">
        <v>118</v>
      </c>
      <c r="C80" s="20"/>
      <c r="D80" s="20"/>
      <c r="E80" s="22">
        <v>60</v>
      </c>
      <c r="F80" s="140">
        <v>73</v>
      </c>
      <c r="G80" s="141">
        <v>111</v>
      </c>
      <c r="H80" s="140">
        <v>18</v>
      </c>
      <c r="I80" s="138">
        <v>43</v>
      </c>
      <c r="J80" s="138">
        <v>1</v>
      </c>
      <c r="K80" s="138">
        <v>3</v>
      </c>
      <c r="L80" s="71">
        <f t="shared" si="6"/>
        <v>19</v>
      </c>
      <c r="M80" s="88">
        <f t="shared" si="7"/>
        <v>46</v>
      </c>
      <c r="N80" s="142">
        <v>19</v>
      </c>
      <c r="O80" s="138"/>
      <c r="P80" s="138">
        <v>29</v>
      </c>
      <c r="Q80" s="141">
        <v>48</v>
      </c>
      <c r="R80" s="140">
        <v>544</v>
      </c>
      <c r="S80" s="143">
        <v>670</v>
      </c>
      <c r="T80" s="147">
        <v>144</v>
      </c>
      <c r="U80" s="151">
        <v>48</v>
      </c>
      <c r="V80" s="148">
        <f t="shared" si="8"/>
        <v>419</v>
      </c>
      <c r="W80" s="152">
        <f t="shared" si="9"/>
        <v>572</v>
      </c>
      <c r="X80" s="140">
        <v>8</v>
      </c>
      <c r="Y80" s="138">
        <v>8</v>
      </c>
      <c r="Z80" s="138">
        <v>24</v>
      </c>
      <c r="AA80" s="143">
        <v>24</v>
      </c>
    </row>
    <row r="81" spans="2:27" ht="15" customHeight="1">
      <c r="B81" s="97" t="s">
        <v>119</v>
      </c>
      <c r="C81" s="20"/>
      <c r="D81" s="20"/>
      <c r="E81" s="21">
        <v>61</v>
      </c>
      <c r="F81" s="140">
        <v>25</v>
      </c>
      <c r="G81" s="141">
        <v>40</v>
      </c>
      <c r="H81" s="140">
        <v>12</v>
      </c>
      <c r="I81" s="138">
        <v>18</v>
      </c>
      <c r="J81" s="138"/>
      <c r="K81" s="138">
        <v>1</v>
      </c>
      <c r="L81" s="71">
        <f t="shared" si="6"/>
        <v>12</v>
      </c>
      <c r="M81" s="88">
        <f t="shared" si="7"/>
        <v>19</v>
      </c>
      <c r="N81" s="142">
        <v>6</v>
      </c>
      <c r="O81" s="138"/>
      <c r="P81" s="138">
        <v>17</v>
      </c>
      <c r="Q81" s="141">
        <v>23</v>
      </c>
      <c r="R81" s="140">
        <v>116</v>
      </c>
      <c r="S81" s="143">
        <v>165</v>
      </c>
      <c r="T81" s="147">
        <v>30</v>
      </c>
      <c r="U81" s="151">
        <v>4</v>
      </c>
      <c r="V81" s="148">
        <f t="shared" si="8"/>
        <v>117</v>
      </c>
      <c r="W81" s="152">
        <f t="shared" si="9"/>
        <v>173</v>
      </c>
      <c r="X81" s="140">
        <v>3</v>
      </c>
      <c r="Y81" s="138">
        <v>3</v>
      </c>
      <c r="Z81" s="138">
        <v>12</v>
      </c>
      <c r="AA81" s="143">
        <v>12</v>
      </c>
    </row>
    <row r="82" spans="2:27" ht="15" customHeight="1">
      <c r="B82" s="97" t="s">
        <v>120</v>
      </c>
      <c r="C82" s="20" t="s">
        <v>63</v>
      </c>
      <c r="D82" s="20"/>
      <c r="E82" s="22">
        <v>62</v>
      </c>
      <c r="F82" s="140">
        <v>770</v>
      </c>
      <c r="G82" s="141">
        <v>1411</v>
      </c>
      <c r="H82" s="140">
        <v>268</v>
      </c>
      <c r="I82" s="138">
        <v>556</v>
      </c>
      <c r="J82" s="138">
        <v>11</v>
      </c>
      <c r="K82" s="138">
        <v>49</v>
      </c>
      <c r="L82" s="71">
        <f t="shared" si="6"/>
        <v>279</v>
      </c>
      <c r="M82" s="88">
        <f t="shared" si="7"/>
        <v>605</v>
      </c>
      <c r="N82" s="142">
        <v>88</v>
      </c>
      <c r="O82" s="138">
        <v>2</v>
      </c>
      <c r="P82" s="138">
        <v>248</v>
      </c>
      <c r="Q82" s="141">
        <v>339</v>
      </c>
      <c r="R82" s="140">
        <v>2767</v>
      </c>
      <c r="S82" s="143">
        <v>3679</v>
      </c>
      <c r="T82" s="147">
        <v>607</v>
      </c>
      <c r="U82" s="151">
        <v>82</v>
      </c>
      <c r="V82" s="148">
        <f t="shared" si="8"/>
        <v>2696</v>
      </c>
      <c r="W82" s="152">
        <f t="shared" si="9"/>
        <v>3934</v>
      </c>
      <c r="X82" s="140">
        <v>36</v>
      </c>
      <c r="Y82" s="138">
        <v>36</v>
      </c>
      <c r="Z82" s="138">
        <v>201</v>
      </c>
      <c r="AA82" s="143">
        <v>201</v>
      </c>
    </row>
    <row r="83" spans="2:27" ht="15" customHeight="1">
      <c r="B83" s="97" t="s">
        <v>121</v>
      </c>
      <c r="C83" s="20">
        <v>1</v>
      </c>
      <c r="D83" s="20" t="s">
        <v>47</v>
      </c>
      <c r="E83" s="22">
        <v>63</v>
      </c>
      <c r="F83" s="140">
        <v>15</v>
      </c>
      <c r="G83" s="141">
        <v>39</v>
      </c>
      <c r="H83" s="140">
        <v>6</v>
      </c>
      <c r="I83" s="138">
        <v>15</v>
      </c>
      <c r="J83" s="138"/>
      <c r="K83" s="138">
        <v>3</v>
      </c>
      <c r="L83" s="71">
        <f t="shared" si="6"/>
        <v>6</v>
      </c>
      <c r="M83" s="88">
        <f t="shared" si="7"/>
        <v>18</v>
      </c>
      <c r="N83" s="142"/>
      <c r="O83" s="138"/>
      <c r="P83" s="138">
        <v>6</v>
      </c>
      <c r="Q83" s="141">
        <v>7</v>
      </c>
      <c r="R83" s="140">
        <v>74</v>
      </c>
      <c r="S83" s="143">
        <v>133</v>
      </c>
      <c r="T83" s="147">
        <v>9</v>
      </c>
      <c r="U83" s="151">
        <v>2</v>
      </c>
      <c r="V83" s="148">
        <f t="shared" si="8"/>
        <v>76</v>
      </c>
      <c r="W83" s="152">
        <f t="shared" si="9"/>
        <v>147</v>
      </c>
      <c r="X83" s="140">
        <v>1</v>
      </c>
      <c r="Y83" s="138">
        <v>1</v>
      </c>
      <c r="Z83" s="138">
        <v>3</v>
      </c>
      <c r="AA83" s="143">
        <v>3</v>
      </c>
    </row>
    <row r="84" spans="2:27" ht="15" customHeight="1">
      <c r="B84" s="97" t="s">
        <v>122</v>
      </c>
      <c r="C84" s="20" t="s">
        <v>63</v>
      </c>
      <c r="D84" s="20"/>
      <c r="E84" s="21">
        <v>64</v>
      </c>
      <c r="F84" s="140">
        <v>15222</v>
      </c>
      <c r="G84" s="141">
        <v>29771</v>
      </c>
      <c r="H84" s="140">
        <v>4521</v>
      </c>
      <c r="I84" s="138">
        <v>10992</v>
      </c>
      <c r="J84" s="138">
        <v>203</v>
      </c>
      <c r="K84" s="138">
        <v>778</v>
      </c>
      <c r="L84" s="71">
        <f t="shared" si="6"/>
        <v>4724</v>
      </c>
      <c r="M84" s="88">
        <f t="shared" si="7"/>
        <v>11770</v>
      </c>
      <c r="N84" s="142">
        <v>871</v>
      </c>
      <c r="O84" s="138">
        <v>18</v>
      </c>
      <c r="P84" s="138">
        <v>2245</v>
      </c>
      <c r="Q84" s="141">
        <v>3135</v>
      </c>
      <c r="R84" s="140">
        <v>20190</v>
      </c>
      <c r="S84" s="143">
        <v>32660</v>
      </c>
      <c r="T84" s="147">
        <v>3641</v>
      </c>
      <c r="U84" s="151">
        <v>209</v>
      </c>
      <c r="V84" s="148">
        <f t="shared" si="8"/>
        <v>24199</v>
      </c>
      <c r="W84" s="152">
        <f t="shared" si="9"/>
        <v>43715</v>
      </c>
      <c r="X84" s="140">
        <v>728</v>
      </c>
      <c r="Y84" s="138">
        <v>736</v>
      </c>
      <c r="Z84" s="138">
        <v>4502</v>
      </c>
      <c r="AA84" s="143">
        <v>4504</v>
      </c>
    </row>
    <row r="85" spans="2:27" ht="15" customHeight="1">
      <c r="B85" s="97" t="s">
        <v>123</v>
      </c>
      <c r="C85" s="20">
        <v>1</v>
      </c>
      <c r="D85" s="20" t="s">
        <v>52</v>
      </c>
      <c r="E85" s="22">
        <v>65</v>
      </c>
      <c r="F85" s="140">
        <v>4</v>
      </c>
      <c r="G85" s="141">
        <v>10</v>
      </c>
      <c r="H85" s="140">
        <v>1</v>
      </c>
      <c r="I85" s="138">
        <v>5</v>
      </c>
      <c r="J85" s="138"/>
      <c r="K85" s="138"/>
      <c r="L85" s="71">
        <f aca="true" t="shared" si="10" ref="L85:L116">SUM(H85,J85)</f>
        <v>1</v>
      </c>
      <c r="M85" s="88">
        <f aca="true" t="shared" si="11" ref="M85:M116">SUM(I85,K85)</f>
        <v>5</v>
      </c>
      <c r="N85" s="142"/>
      <c r="O85" s="138"/>
      <c r="P85" s="138">
        <v>9</v>
      </c>
      <c r="Q85" s="141">
        <v>9</v>
      </c>
      <c r="R85" s="140">
        <v>40</v>
      </c>
      <c r="S85" s="143">
        <v>52</v>
      </c>
      <c r="T85" s="147">
        <v>12</v>
      </c>
      <c r="U85" s="151"/>
      <c r="V85" s="148">
        <f t="shared" si="8"/>
        <v>38</v>
      </c>
      <c r="W85" s="152">
        <f t="shared" si="9"/>
        <v>54</v>
      </c>
      <c r="X85" s="140"/>
      <c r="Y85" s="138"/>
      <c r="Z85" s="138"/>
      <c r="AA85" s="143"/>
    </row>
    <row r="86" spans="2:27" ht="15" customHeight="1">
      <c r="B86" s="97" t="s">
        <v>124</v>
      </c>
      <c r="C86" s="20">
        <v>1</v>
      </c>
      <c r="D86" s="20" t="s">
        <v>52</v>
      </c>
      <c r="E86" s="22">
        <v>66</v>
      </c>
      <c r="F86" s="140">
        <v>13</v>
      </c>
      <c r="G86" s="141">
        <v>22</v>
      </c>
      <c r="H86" s="140">
        <v>4</v>
      </c>
      <c r="I86" s="138">
        <v>9</v>
      </c>
      <c r="J86" s="138"/>
      <c r="K86" s="138"/>
      <c r="L86" s="71">
        <f t="shared" si="10"/>
        <v>4</v>
      </c>
      <c r="M86" s="88">
        <f t="shared" si="11"/>
        <v>9</v>
      </c>
      <c r="N86" s="142">
        <v>2</v>
      </c>
      <c r="O86" s="138"/>
      <c r="P86" s="138">
        <v>16</v>
      </c>
      <c r="Q86" s="141">
        <v>19</v>
      </c>
      <c r="R86" s="140">
        <v>81</v>
      </c>
      <c r="S86" s="143">
        <v>117</v>
      </c>
      <c r="T86" s="147">
        <v>16</v>
      </c>
      <c r="U86" s="151">
        <v>10</v>
      </c>
      <c r="V86" s="148">
        <f t="shared" si="8"/>
        <v>78</v>
      </c>
      <c r="W86" s="152">
        <f t="shared" si="9"/>
        <v>119</v>
      </c>
      <c r="X86" s="140">
        <v>1</v>
      </c>
      <c r="Y86" s="138">
        <v>1</v>
      </c>
      <c r="Z86" s="138">
        <v>6</v>
      </c>
      <c r="AA86" s="143">
        <v>6</v>
      </c>
    </row>
    <row r="87" spans="2:27" ht="15" customHeight="1">
      <c r="B87" s="97" t="s">
        <v>125</v>
      </c>
      <c r="C87" s="20"/>
      <c r="D87" s="20"/>
      <c r="E87" s="21">
        <v>67</v>
      </c>
      <c r="F87" s="140">
        <v>17</v>
      </c>
      <c r="G87" s="141">
        <v>28</v>
      </c>
      <c r="H87" s="140">
        <v>4</v>
      </c>
      <c r="I87" s="138">
        <v>8</v>
      </c>
      <c r="J87" s="138"/>
      <c r="K87" s="138">
        <v>2</v>
      </c>
      <c r="L87" s="71">
        <f t="shared" si="10"/>
        <v>4</v>
      </c>
      <c r="M87" s="88">
        <f t="shared" si="11"/>
        <v>10</v>
      </c>
      <c r="N87" s="142">
        <v>4</v>
      </c>
      <c r="O87" s="138"/>
      <c r="P87" s="138">
        <v>19</v>
      </c>
      <c r="Q87" s="141">
        <v>23</v>
      </c>
      <c r="R87" s="140">
        <v>115</v>
      </c>
      <c r="S87" s="143">
        <v>172</v>
      </c>
      <c r="T87" s="147">
        <v>24</v>
      </c>
      <c r="U87" s="151">
        <v>6</v>
      </c>
      <c r="V87" s="148">
        <f t="shared" si="8"/>
        <v>112</v>
      </c>
      <c r="W87" s="152">
        <f t="shared" si="9"/>
        <v>175</v>
      </c>
      <c r="X87" s="140">
        <v>2</v>
      </c>
      <c r="Y87" s="138">
        <v>2</v>
      </c>
      <c r="Z87" s="138">
        <v>6</v>
      </c>
      <c r="AA87" s="143">
        <v>6</v>
      </c>
    </row>
    <row r="88" spans="2:27" ht="15" customHeight="1">
      <c r="B88" s="97" t="s">
        <v>126</v>
      </c>
      <c r="C88" s="20">
        <v>1</v>
      </c>
      <c r="D88" s="20" t="s">
        <v>52</v>
      </c>
      <c r="E88" s="22">
        <v>68</v>
      </c>
      <c r="F88" s="140">
        <v>12</v>
      </c>
      <c r="G88" s="141">
        <v>12</v>
      </c>
      <c r="H88" s="140">
        <v>1</v>
      </c>
      <c r="I88" s="138">
        <v>2</v>
      </c>
      <c r="J88" s="138"/>
      <c r="K88" s="138"/>
      <c r="L88" s="71">
        <f t="shared" si="10"/>
        <v>1</v>
      </c>
      <c r="M88" s="88">
        <f t="shared" si="11"/>
        <v>2</v>
      </c>
      <c r="N88" s="142">
        <v>6</v>
      </c>
      <c r="O88" s="138"/>
      <c r="P88" s="138">
        <v>4</v>
      </c>
      <c r="Q88" s="141">
        <v>11</v>
      </c>
      <c r="R88" s="140">
        <v>121</v>
      </c>
      <c r="S88" s="143">
        <v>142</v>
      </c>
      <c r="T88" s="147">
        <v>26</v>
      </c>
      <c r="U88" s="151">
        <v>8</v>
      </c>
      <c r="V88" s="148">
        <f t="shared" si="8"/>
        <v>99</v>
      </c>
      <c r="W88" s="152">
        <f t="shared" si="9"/>
        <v>121</v>
      </c>
      <c r="X88" s="140">
        <v>1</v>
      </c>
      <c r="Y88" s="138">
        <v>1</v>
      </c>
      <c r="Z88" s="138">
        <v>6</v>
      </c>
      <c r="AA88" s="143">
        <v>6</v>
      </c>
    </row>
    <row r="89" spans="2:27" ht="15" customHeight="1">
      <c r="B89" s="97" t="s">
        <v>127</v>
      </c>
      <c r="C89" s="20"/>
      <c r="D89" s="20"/>
      <c r="E89" s="22">
        <v>69</v>
      </c>
      <c r="F89" s="140">
        <v>572</v>
      </c>
      <c r="G89" s="141">
        <v>1098</v>
      </c>
      <c r="H89" s="140">
        <v>155</v>
      </c>
      <c r="I89" s="138">
        <v>337</v>
      </c>
      <c r="J89" s="138">
        <v>12</v>
      </c>
      <c r="K89" s="138">
        <v>47</v>
      </c>
      <c r="L89" s="71">
        <f t="shared" si="10"/>
        <v>167</v>
      </c>
      <c r="M89" s="88">
        <f t="shared" si="11"/>
        <v>384</v>
      </c>
      <c r="N89" s="142">
        <v>34</v>
      </c>
      <c r="O89" s="138"/>
      <c r="P89" s="138">
        <v>125</v>
      </c>
      <c r="Q89" s="141">
        <v>160</v>
      </c>
      <c r="R89" s="140">
        <v>1750</v>
      </c>
      <c r="S89" s="143">
        <v>2500</v>
      </c>
      <c r="T89" s="147">
        <v>413</v>
      </c>
      <c r="U89" s="151">
        <v>73</v>
      </c>
      <c r="V89" s="148">
        <f t="shared" si="8"/>
        <v>1591</v>
      </c>
      <c r="W89" s="152">
        <f t="shared" si="9"/>
        <v>2558</v>
      </c>
      <c r="X89" s="140">
        <v>26</v>
      </c>
      <c r="Y89" s="138">
        <v>26</v>
      </c>
      <c r="Z89" s="138">
        <v>101</v>
      </c>
      <c r="AA89" s="143">
        <v>101</v>
      </c>
    </row>
    <row r="90" spans="2:27" ht="15" customHeight="1">
      <c r="B90" s="97" t="s">
        <v>128</v>
      </c>
      <c r="C90" s="20">
        <v>1</v>
      </c>
      <c r="D90" s="20" t="s">
        <v>75</v>
      </c>
      <c r="E90" s="21">
        <v>70</v>
      </c>
      <c r="F90" s="140">
        <v>12</v>
      </c>
      <c r="G90" s="141">
        <v>20</v>
      </c>
      <c r="H90" s="140">
        <v>5</v>
      </c>
      <c r="I90" s="138">
        <v>8</v>
      </c>
      <c r="J90" s="138"/>
      <c r="K90" s="138"/>
      <c r="L90" s="71">
        <f t="shared" si="10"/>
        <v>5</v>
      </c>
      <c r="M90" s="88">
        <f t="shared" si="11"/>
        <v>8</v>
      </c>
      <c r="N90" s="142">
        <v>3</v>
      </c>
      <c r="O90" s="138"/>
      <c r="P90" s="138">
        <v>4</v>
      </c>
      <c r="Q90" s="141">
        <v>7</v>
      </c>
      <c r="R90" s="140">
        <v>65</v>
      </c>
      <c r="S90" s="143">
        <v>95</v>
      </c>
      <c r="T90" s="147">
        <v>15</v>
      </c>
      <c r="U90" s="151">
        <v>8</v>
      </c>
      <c r="V90" s="148">
        <f t="shared" si="8"/>
        <v>54</v>
      </c>
      <c r="W90" s="152">
        <f t="shared" si="9"/>
        <v>87</v>
      </c>
      <c r="X90" s="140"/>
      <c r="Y90" s="138"/>
      <c r="Z90" s="138">
        <v>7</v>
      </c>
      <c r="AA90" s="143">
        <v>7</v>
      </c>
    </row>
    <row r="91" spans="2:27" ht="15" customHeight="1">
      <c r="B91" s="97" t="s">
        <v>129</v>
      </c>
      <c r="C91" s="20">
        <v>1</v>
      </c>
      <c r="D91" s="20" t="s">
        <v>47</v>
      </c>
      <c r="E91" s="22">
        <v>71</v>
      </c>
      <c r="F91" s="140">
        <v>60</v>
      </c>
      <c r="G91" s="141">
        <v>94</v>
      </c>
      <c r="H91" s="140">
        <v>12</v>
      </c>
      <c r="I91" s="138">
        <v>24</v>
      </c>
      <c r="J91" s="138"/>
      <c r="K91" s="138"/>
      <c r="L91" s="71">
        <f t="shared" si="10"/>
        <v>12</v>
      </c>
      <c r="M91" s="88">
        <f t="shared" si="11"/>
        <v>24</v>
      </c>
      <c r="N91" s="142">
        <v>7</v>
      </c>
      <c r="O91" s="138">
        <v>3</v>
      </c>
      <c r="P91" s="138">
        <v>12</v>
      </c>
      <c r="Q91" s="141">
        <v>23</v>
      </c>
      <c r="R91" s="140">
        <v>204</v>
      </c>
      <c r="S91" s="143">
        <v>339</v>
      </c>
      <c r="T91" s="147">
        <v>45</v>
      </c>
      <c r="U91" s="151">
        <v>6</v>
      </c>
      <c r="V91" s="148">
        <f t="shared" si="8"/>
        <v>188</v>
      </c>
      <c r="W91" s="152">
        <f t="shared" si="9"/>
        <v>335</v>
      </c>
      <c r="X91" s="140">
        <v>2</v>
      </c>
      <c r="Y91" s="138">
        <v>2</v>
      </c>
      <c r="Z91" s="138">
        <v>80</v>
      </c>
      <c r="AA91" s="143">
        <v>80</v>
      </c>
    </row>
    <row r="92" spans="2:27" ht="15" customHeight="1">
      <c r="B92" s="97" t="s">
        <v>130</v>
      </c>
      <c r="C92" s="20"/>
      <c r="D92" s="20"/>
      <c r="E92" s="22">
        <v>72</v>
      </c>
      <c r="F92" s="140">
        <v>73</v>
      </c>
      <c r="G92" s="141">
        <v>135</v>
      </c>
      <c r="H92" s="140">
        <v>20</v>
      </c>
      <c r="I92" s="138">
        <v>43</v>
      </c>
      <c r="J92" s="138">
        <v>2</v>
      </c>
      <c r="K92" s="138">
        <v>9</v>
      </c>
      <c r="L92" s="71">
        <f t="shared" si="10"/>
        <v>22</v>
      </c>
      <c r="M92" s="88">
        <f t="shared" si="11"/>
        <v>52</v>
      </c>
      <c r="N92" s="142">
        <v>7</v>
      </c>
      <c r="O92" s="138"/>
      <c r="P92" s="138">
        <v>38</v>
      </c>
      <c r="Q92" s="141">
        <v>46</v>
      </c>
      <c r="R92" s="140">
        <v>332</v>
      </c>
      <c r="S92" s="143">
        <v>507</v>
      </c>
      <c r="T92" s="147">
        <v>65</v>
      </c>
      <c r="U92" s="151">
        <v>13</v>
      </c>
      <c r="V92" s="148">
        <f t="shared" si="8"/>
        <v>322</v>
      </c>
      <c r="W92" s="152">
        <f t="shared" si="9"/>
        <v>527</v>
      </c>
      <c r="X92" s="140">
        <v>3</v>
      </c>
      <c r="Y92" s="138">
        <v>3</v>
      </c>
      <c r="Z92" s="138">
        <v>20</v>
      </c>
      <c r="AA92" s="143">
        <v>20</v>
      </c>
    </row>
    <row r="93" spans="2:27" ht="15" customHeight="1">
      <c r="B93" s="97" t="s">
        <v>131</v>
      </c>
      <c r="C93" s="20">
        <v>1</v>
      </c>
      <c r="D93" s="20" t="s">
        <v>47</v>
      </c>
      <c r="E93" s="21">
        <v>73</v>
      </c>
      <c r="F93" s="140">
        <v>30</v>
      </c>
      <c r="G93" s="141">
        <v>62</v>
      </c>
      <c r="H93" s="140">
        <v>9</v>
      </c>
      <c r="I93" s="138">
        <v>17</v>
      </c>
      <c r="J93" s="138">
        <v>1</v>
      </c>
      <c r="K93" s="138">
        <v>4</v>
      </c>
      <c r="L93" s="71">
        <f t="shared" si="10"/>
        <v>10</v>
      </c>
      <c r="M93" s="88">
        <f t="shared" si="11"/>
        <v>21</v>
      </c>
      <c r="N93" s="142">
        <v>3</v>
      </c>
      <c r="O93" s="138"/>
      <c r="P93" s="138">
        <v>8</v>
      </c>
      <c r="Q93" s="141">
        <v>11</v>
      </c>
      <c r="R93" s="140">
        <v>111</v>
      </c>
      <c r="S93" s="143">
        <v>174</v>
      </c>
      <c r="T93" s="147">
        <v>21</v>
      </c>
      <c r="U93" s="151">
        <v>7</v>
      </c>
      <c r="V93" s="148">
        <f t="shared" si="8"/>
        <v>104</v>
      </c>
      <c r="W93" s="152">
        <f t="shared" si="9"/>
        <v>178</v>
      </c>
      <c r="X93" s="140">
        <v>2</v>
      </c>
      <c r="Y93" s="138">
        <v>2</v>
      </c>
      <c r="Z93" s="138">
        <v>9</v>
      </c>
      <c r="AA93" s="143">
        <v>9</v>
      </c>
    </row>
    <row r="94" spans="2:27" ht="15" customHeight="1">
      <c r="B94" s="97" t="s">
        <v>132</v>
      </c>
      <c r="C94" s="20">
        <v>1</v>
      </c>
      <c r="D94" s="20" t="s">
        <v>52</v>
      </c>
      <c r="E94" s="22">
        <v>74</v>
      </c>
      <c r="F94" s="140">
        <v>30</v>
      </c>
      <c r="G94" s="141">
        <v>41</v>
      </c>
      <c r="H94" s="140">
        <v>7</v>
      </c>
      <c r="I94" s="138">
        <v>14</v>
      </c>
      <c r="J94" s="138"/>
      <c r="K94" s="138">
        <v>2</v>
      </c>
      <c r="L94" s="71">
        <f t="shared" si="10"/>
        <v>7</v>
      </c>
      <c r="M94" s="88">
        <f t="shared" si="11"/>
        <v>16</v>
      </c>
      <c r="N94" s="142">
        <v>37</v>
      </c>
      <c r="O94" s="138"/>
      <c r="P94" s="138">
        <v>43</v>
      </c>
      <c r="Q94" s="141">
        <v>81</v>
      </c>
      <c r="R94" s="140">
        <v>295</v>
      </c>
      <c r="S94" s="143">
        <v>362</v>
      </c>
      <c r="T94" s="147">
        <v>88</v>
      </c>
      <c r="U94" s="151">
        <v>26</v>
      </c>
      <c r="V94" s="148">
        <f t="shared" si="8"/>
        <v>269</v>
      </c>
      <c r="W94" s="152">
        <f t="shared" si="9"/>
        <v>345</v>
      </c>
      <c r="X94" s="140">
        <v>1</v>
      </c>
      <c r="Y94" s="138">
        <v>1</v>
      </c>
      <c r="Z94" s="138">
        <v>5</v>
      </c>
      <c r="AA94" s="143">
        <v>5</v>
      </c>
    </row>
    <row r="95" spans="2:27" ht="15" customHeight="1">
      <c r="B95" s="97" t="s">
        <v>133</v>
      </c>
      <c r="C95" s="20">
        <v>1</v>
      </c>
      <c r="D95" s="20" t="s">
        <v>75</v>
      </c>
      <c r="E95" s="22">
        <v>75</v>
      </c>
      <c r="F95" s="140">
        <v>4</v>
      </c>
      <c r="G95" s="141">
        <v>4</v>
      </c>
      <c r="H95" s="140"/>
      <c r="I95" s="138">
        <v>1</v>
      </c>
      <c r="J95" s="138"/>
      <c r="K95" s="138"/>
      <c r="L95" s="71">
        <f t="shared" si="10"/>
        <v>0</v>
      </c>
      <c r="M95" s="88">
        <f t="shared" si="11"/>
        <v>1</v>
      </c>
      <c r="N95" s="142">
        <v>1</v>
      </c>
      <c r="O95" s="138"/>
      <c r="P95" s="138">
        <v>5</v>
      </c>
      <c r="Q95" s="141">
        <v>7</v>
      </c>
      <c r="R95" s="140">
        <v>27</v>
      </c>
      <c r="S95" s="143">
        <v>38</v>
      </c>
      <c r="T95" s="147">
        <v>7</v>
      </c>
      <c r="U95" s="151">
        <v>1</v>
      </c>
      <c r="V95" s="148">
        <f t="shared" si="8"/>
        <v>26</v>
      </c>
      <c r="W95" s="152">
        <f t="shared" si="9"/>
        <v>38</v>
      </c>
      <c r="X95" s="140"/>
      <c r="Y95" s="138"/>
      <c r="Z95" s="138">
        <v>3</v>
      </c>
      <c r="AA95" s="143">
        <v>3</v>
      </c>
    </row>
    <row r="96" spans="2:27" ht="15" customHeight="1">
      <c r="B96" s="97" t="s">
        <v>134</v>
      </c>
      <c r="C96" s="20"/>
      <c r="D96" s="20"/>
      <c r="E96" s="21">
        <v>76</v>
      </c>
      <c r="F96" s="140">
        <v>42</v>
      </c>
      <c r="G96" s="141">
        <v>57</v>
      </c>
      <c r="H96" s="140">
        <v>8</v>
      </c>
      <c r="I96" s="138">
        <v>16</v>
      </c>
      <c r="J96" s="138"/>
      <c r="K96" s="138">
        <v>1</v>
      </c>
      <c r="L96" s="71">
        <f t="shared" si="10"/>
        <v>8</v>
      </c>
      <c r="M96" s="88">
        <f t="shared" si="11"/>
        <v>17</v>
      </c>
      <c r="N96" s="142">
        <v>1</v>
      </c>
      <c r="O96" s="138"/>
      <c r="P96" s="138">
        <v>24</v>
      </c>
      <c r="Q96" s="141">
        <v>25</v>
      </c>
      <c r="R96" s="140">
        <v>275</v>
      </c>
      <c r="S96" s="143">
        <v>342</v>
      </c>
      <c r="T96" s="147">
        <v>73</v>
      </c>
      <c r="U96" s="151">
        <v>17</v>
      </c>
      <c r="V96" s="148">
        <f t="shared" si="8"/>
        <v>218</v>
      </c>
      <c r="W96" s="152">
        <f t="shared" si="9"/>
        <v>294</v>
      </c>
      <c r="X96" s="140"/>
      <c r="Y96" s="138"/>
      <c r="Z96" s="138">
        <v>17</v>
      </c>
      <c r="AA96" s="143">
        <v>17</v>
      </c>
    </row>
    <row r="97" spans="2:27" ht="15" customHeight="1">
      <c r="B97" s="97" t="s">
        <v>135</v>
      </c>
      <c r="C97" s="20" t="s">
        <v>63</v>
      </c>
      <c r="D97" s="20"/>
      <c r="E97" s="22">
        <v>77</v>
      </c>
      <c r="F97" s="140">
        <v>1014</v>
      </c>
      <c r="G97" s="141">
        <v>1949</v>
      </c>
      <c r="H97" s="140">
        <v>311</v>
      </c>
      <c r="I97" s="138">
        <v>700</v>
      </c>
      <c r="J97" s="138">
        <v>13</v>
      </c>
      <c r="K97" s="138">
        <v>48</v>
      </c>
      <c r="L97" s="71">
        <f t="shared" si="10"/>
        <v>324</v>
      </c>
      <c r="M97" s="88">
        <f t="shared" si="11"/>
        <v>748</v>
      </c>
      <c r="N97" s="142">
        <v>101</v>
      </c>
      <c r="O97" s="138">
        <v>2</v>
      </c>
      <c r="P97" s="138">
        <v>323</v>
      </c>
      <c r="Q97" s="141">
        <v>426</v>
      </c>
      <c r="R97" s="140">
        <v>3655</v>
      </c>
      <c r="S97" s="143">
        <v>5146</v>
      </c>
      <c r="T97" s="147">
        <v>843</v>
      </c>
      <c r="U97" s="151">
        <v>153</v>
      </c>
      <c r="V97" s="148">
        <f t="shared" si="8"/>
        <v>3409</v>
      </c>
      <c r="W97" s="152">
        <f t="shared" si="9"/>
        <v>5324</v>
      </c>
      <c r="X97" s="140">
        <v>44</v>
      </c>
      <c r="Y97" s="138">
        <v>44</v>
      </c>
      <c r="Z97" s="138">
        <v>265</v>
      </c>
      <c r="AA97" s="143">
        <v>265</v>
      </c>
    </row>
    <row r="98" spans="2:27" ht="15" customHeight="1">
      <c r="B98" s="97" t="s">
        <v>136</v>
      </c>
      <c r="C98" s="20"/>
      <c r="D98" s="20"/>
      <c r="E98" s="22">
        <v>78</v>
      </c>
      <c r="F98" s="140">
        <v>119</v>
      </c>
      <c r="G98" s="141">
        <v>209</v>
      </c>
      <c r="H98" s="140">
        <v>26</v>
      </c>
      <c r="I98" s="138">
        <v>50</v>
      </c>
      <c r="J98" s="138">
        <v>2</v>
      </c>
      <c r="K98" s="138">
        <v>6</v>
      </c>
      <c r="L98" s="71">
        <f t="shared" si="10"/>
        <v>28</v>
      </c>
      <c r="M98" s="88">
        <f t="shared" si="11"/>
        <v>56</v>
      </c>
      <c r="N98" s="142">
        <v>4</v>
      </c>
      <c r="O98" s="138"/>
      <c r="P98" s="138">
        <v>25</v>
      </c>
      <c r="Q98" s="141">
        <v>29</v>
      </c>
      <c r="R98" s="140">
        <v>527</v>
      </c>
      <c r="S98" s="143">
        <v>749</v>
      </c>
      <c r="T98" s="147">
        <v>107</v>
      </c>
      <c r="U98" s="151">
        <v>24</v>
      </c>
      <c r="V98" s="148">
        <f t="shared" si="8"/>
        <v>453</v>
      </c>
      <c r="W98" s="152">
        <f t="shared" si="9"/>
        <v>703</v>
      </c>
      <c r="X98" s="140">
        <v>6</v>
      </c>
      <c r="Y98" s="138">
        <v>6</v>
      </c>
      <c r="Z98" s="138">
        <v>36</v>
      </c>
      <c r="AA98" s="143">
        <v>36</v>
      </c>
    </row>
    <row r="99" spans="2:27" ht="15" customHeight="1">
      <c r="B99" s="97" t="s">
        <v>137</v>
      </c>
      <c r="C99" s="20">
        <v>1</v>
      </c>
      <c r="D99" s="20" t="s">
        <v>47</v>
      </c>
      <c r="E99" s="21">
        <v>79</v>
      </c>
      <c r="F99" s="140">
        <v>19</v>
      </c>
      <c r="G99" s="141">
        <v>23</v>
      </c>
      <c r="H99" s="140">
        <v>3</v>
      </c>
      <c r="I99" s="138">
        <v>4</v>
      </c>
      <c r="J99" s="138"/>
      <c r="K99" s="138"/>
      <c r="L99" s="71">
        <f t="shared" si="10"/>
        <v>3</v>
      </c>
      <c r="M99" s="88">
        <f t="shared" si="11"/>
        <v>4</v>
      </c>
      <c r="N99" s="142">
        <v>1</v>
      </c>
      <c r="O99" s="138"/>
      <c r="P99" s="138">
        <v>10</v>
      </c>
      <c r="Q99" s="141">
        <v>12</v>
      </c>
      <c r="R99" s="140">
        <v>228</v>
      </c>
      <c r="S99" s="143">
        <v>263</v>
      </c>
      <c r="T99" s="147">
        <v>65</v>
      </c>
      <c r="U99" s="151">
        <v>15</v>
      </c>
      <c r="V99" s="148">
        <f t="shared" si="8"/>
        <v>163</v>
      </c>
      <c r="W99" s="152">
        <f t="shared" si="9"/>
        <v>199</v>
      </c>
      <c r="X99" s="140"/>
      <c r="Y99" s="138"/>
      <c r="Z99" s="138">
        <v>4</v>
      </c>
      <c r="AA99" s="143">
        <v>4</v>
      </c>
    </row>
    <row r="100" spans="2:27" ht="15" customHeight="1">
      <c r="B100" s="97" t="s">
        <v>138</v>
      </c>
      <c r="C100" s="20" t="s">
        <v>63</v>
      </c>
      <c r="D100" s="20"/>
      <c r="E100" s="22">
        <v>80</v>
      </c>
      <c r="F100" s="140">
        <v>2311</v>
      </c>
      <c r="G100" s="141">
        <v>4949</v>
      </c>
      <c r="H100" s="140">
        <v>743</v>
      </c>
      <c r="I100" s="138">
        <v>1750</v>
      </c>
      <c r="J100" s="138">
        <v>59</v>
      </c>
      <c r="K100" s="138">
        <v>249</v>
      </c>
      <c r="L100" s="71">
        <f t="shared" si="10"/>
        <v>802</v>
      </c>
      <c r="M100" s="88">
        <f t="shared" si="11"/>
        <v>1999</v>
      </c>
      <c r="N100" s="142">
        <v>163</v>
      </c>
      <c r="O100" s="138">
        <v>4</v>
      </c>
      <c r="P100" s="138">
        <v>554</v>
      </c>
      <c r="Q100" s="141">
        <v>722</v>
      </c>
      <c r="R100" s="140">
        <v>5551</v>
      </c>
      <c r="S100" s="143">
        <v>8626</v>
      </c>
      <c r="T100" s="147">
        <v>1184</v>
      </c>
      <c r="U100" s="151">
        <v>221</v>
      </c>
      <c r="V100" s="148">
        <f t="shared" si="8"/>
        <v>5670</v>
      </c>
      <c r="W100" s="152">
        <f t="shared" si="9"/>
        <v>9942</v>
      </c>
      <c r="X100" s="140">
        <v>102</v>
      </c>
      <c r="Y100" s="138">
        <v>103</v>
      </c>
      <c r="Z100" s="138">
        <v>546</v>
      </c>
      <c r="AA100" s="143">
        <v>547</v>
      </c>
    </row>
    <row r="101" spans="2:27" ht="15" customHeight="1">
      <c r="B101" s="97" t="s">
        <v>139</v>
      </c>
      <c r="C101" s="20">
        <v>1</v>
      </c>
      <c r="D101" s="20" t="s">
        <v>52</v>
      </c>
      <c r="E101" s="22">
        <v>81</v>
      </c>
      <c r="F101" s="140">
        <v>21</v>
      </c>
      <c r="G101" s="141">
        <v>38</v>
      </c>
      <c r="H101" s="140">
        <v>6</v>
      </c>
      <c r="I101" s="138">
        <v>10</v>
      </c>
      <c r="J101" s="138">
        <v>1</v>
      </c>
      <c r="K101" s="138">
        <v>1</v>
      </c>
      <c r="L101" s="71">
        <f t="shared" si="10"/>
        <v>7</v>
      </c>
      <c r="M101" s="88">
        <f t="shared" si="11"/>
        <v>11</v>
      </c>
      <c r="N101" s="142"/>
      <c r="O101" s="138"/>
      <c r="P101" s="138">
        <v>6</v>
      </c>
      <c r="Q101" s="141">
        <v>7</v>
      </c>
      <c r="R101" s="140">
        <v>143</v>
      </c>
      <c r="S101" s="143">
        <v>178</v>
      </c>
      <c r="T101" s="147">
        <v>36</v>
      </c>
      <c r="U101" s="151">
        <v>5</v>
      </c>
      <c r="V101" s="148">
        <f t="shared" si="8"/>
        <v>116</v>
      </c>
      <c r="W101" s="152">
        <f t="shared" si="9"/>
        <v>155</v>
      </c>
      <c r="X101" s="140"/>
      <c r="Y101" s="138"/>
      <c r="Z101" s="138">
        <v>5</v>
      </c>
      <c r="AA101" s="143">
        <v>5</v>
      </c>
    </row>
    <row r="102" spans="2:27" ht="15" customHeight="1">
      <c r="B102" s="97" t="s">
        <v>140</v>
      </c>
      <c r="C102" s="20">
        <v>1</v>
      </c>
      <c r="D102" s="20" t="s">
        <v>75</v>
      </c>
      <c r="E102" s="21">
        <v>82</v>
      </c>
      <c r="F102" s="140">
        <v>18</v>
      </c>
      <c r="G102" s="141">
        <v>30</v>
      </c>
      <c r="H102" s="140">
        <v>4</v>
      </c>
      <c r="I102" s="138">
        <v>9</v>
      </c>
      <c r="J102" s="138"/>
      <c r="K102" s="138"/>
      <c r="L102" s="71">
        <f t="shared" si="10"/>
        <v>4</v>
      </c>
      <c r="M102" s="88">
        <f t="shared" si="11"/>
        <v>9</v>
      </c>
      <c r="N102" s="142"/>
      <c r="O102" s="138"/>
      <c r="P102" s="138">
        <v>5</v>
      </c>
      <c r="Q102" s="141">
        <v>5</v>
      </c>
      <c r="R102" s="140">
        <v>73</v>
      </c>
      <c r="S102" s="143">
        <v>91</v>
      </c>
      <c r="T102" s="147">
        <v>18</v>
      </c>
      <c r="U102" s="151">
        <v>5</v>
      </c>
      <c r="V102" s="148">
        <f t="shared" si="8"/>
        <v>59</v>
      </c>
      <c r="W102" s="152">
        <f t="shared" si="9"/>
        <v>82</v>
      </c>
      <c r="X102" s="140">
        <v>1</v>
      </c>
      <c r="Y102" s="138">
        <v>1</v>
      </c>
      <c r="Z102" s="138">
        <v>4</v>
      </c>
      <c r="AA102" s="143">
        <v>4</v>
      </c>
    </row>
    <row r="103" spans="2:27" ht="15" customHeight="1">
      <c r="B103" s="97" t="s">
        <v>141</v>
      </c>
      <c r="C103" s="20"/>
      <c r="D103" s="20"/>
      <c r="E103" s="22">
        <v>83</v>
      </c>
      <c r="F103" s="140">
        <v>1040</v>
      </c>
      <c r="G103" s="141">
        <v>1833</v>
      </c>
      <c r="H103" s="140">
        <v>300</v>
      </c>
      <c r="I103" s="138">
        <v>656</v>
      </c>
      <c r="J103" s="138">
        <v>10</v>
      </c>
      <c r="K103" s="138">
        <v>42</v>
      </c>
      <c r="L103" s="71">
        <f t="shared" si="10"/>
        <v>310</v>
      </c>
      <c r="M103" s="88">
        <f t="shared" si="11"/>
        <v>698</v>
      </c>
      <c r="N103" s="142">
        <v>59</v>
      </c>
      <c r="O103" s="138">
        <v>1</v>
      </c>
      <c r="P103" s="138">
        <v>262</v>
      </c>
      <c r="Q103" s="141">
        <v>323</v>
      </c>
      <c r="R103" s="140">
        <v>3177</v>
      </c>
      <c r="S103" s="143">
        <v>4348</v>
      </c>
      <c r="T103" s="147">
        <v>733</v>
      </c>
      <c r="U103" s="151">
        <v>148</v>
      </c>
      <c r="V103" s="148">
        <f t="shared" si="8"/>
        <v>2929</v>
      </c>
      <c r="W103" s="152">
        <f t="shared" si="9"/>
        <v>4488</v>
      </c>
      <c r="X103" s="140">
        <v>68</v>
      </c>
      <c r="Y103" s="138">
        <v>71</v>
      </c>
      <c r="Z103" s="138">
        <v>315</v>
      </c>
      <c r="AA103" s="143">
        <v>315</v>
      </c>
    </row>
    <row r="104" spans="2:27" ht="15" customHeight="1">
      <c r="B104" s="97" t="s">
        <v>142</v>
      </c>
      <c r="C104" s="20" t="s">
        <v>63</v>
      </c>
      <c r="D104" s="20"/>
      <c r="E104" s="22">
        <v>84</v>
      </c>
      <c r="F104" s="140">
        <v>512</v>
      </c>
      <c r="G104" s="141">
        <v>873</v>
      </c>
      <c r="H104" s="140">
        <v>125</v>
      </c>
      <c r="I104" s="138">
        <v>268</v>
      </c>
      <c r="J104" s="138">
        <v>4</v>
      </c>
      <c r="K104" s="138">
        <v>18</v>
      </c>
      <c r="L104" s="71">
        <f t="shared" si="10"/>
        <v>129</v>
      </c>
      <c r="M104" s="88">
        <f t="shared" si="11"/>
        <v>286</v>
      </c>
      <c r="N104" s="142">
        <v>37</v>
      </c>
      <c r="O104" s="138">
        <v>1</v>
      </c>
      <c r="P104" s="138">
        <v>103</v>
      </c>
      <c r="Q104" s="141">
        <v>142</v>
      </c>
      <c r="R104" s="140">
        <v>1895</v>
      </c>
      <c r="S104" s="143">
        <v>2509</v>
      </c>
      <c r="T104" s="147">
        <v>417</v>
      </c>
      <c r="U104" s="151">
        <v>51</v>
      </c>
      <c r="V104" s="148">
        <f t="shared" si="8"/>
        <v>1698</v>
      </c>
      <c r="W104" s="152">
        <f t="shared" si="9"/>
        <v>2469</v>
      </c>
      <c r="X104" s="140">
        <v>29</v>
      </c>
      <c r="Y104" s="138">
        <v>29</v>
      </c>
      <c r="Z104" s="138">
        <v>128</v>
      </c>
      <c r="AA104" s="143">
        <v>128</v>
      </c>
    </row>
    <row r="105" spans="2:27" ht="15" customHeight="1">
      <c r="B105" s="97" t="s">
        <v>143</v>
      </c>
      <c r="C105" s="20"/>
      <c r="D105" s="20"/>
      <c r="E105" s="21">
        <v>85</v>
      </c>
      <c r="F105" s="140">
        <v>37</v>
      </c>
      <c r="G105" s="141">
        <v>64</v>
      </c>
      <c r="H105" s="140">
        <v>9</v>
      </c>
      <c r="I105" s="138">
        <v>19</v>
      </c>
      <c r="J105" s="138"/>
      <c r="K105" s="138"/>
      <c r="L105" s="71">
        <f t="shared" si="10"/>
        <v>9</v>
      </c>
      <c r="M105" s="88">
        <f t="shared" si="11"/>
        <v>19</v>
      </c>
      <c r="N105" s="142">
        <v>6</v>
      </c>
      <c r="O105" s="138">
        <v>1</v>
      </c>
      <c r="P105" s="138">
        <v>34</v>
      </c>
      <c r="Q105" s="141">
        <v>42</v>
      </c>
      <c r="R105" s="140">
        <v>224</v>
      </c>
      <c r="S105" s="143">
        <v>313</v>
      </c>
      <c r="T105" s="147">
        <v>49</v>
      </c>
      <c r="U105" s="151">
        <v>11</v>
      </c>
      <c r="V105" s="148">
        <f t="shared" si="8"/>
        <v>215</v>
      </c>
      <c r="W105" s="152">
        <f t="shared" si="9"/>
        <v>314</v>
      </c>
      <c r="X105" s="140">
        <v>2</v>
      </c>
      <c r="Y105" s="138">
        <v>2</v>
      </c>
      <c r="Z105" s="138">
        <v>14</v>
      </c>
      <c r="AA105" s="143">
        <v>14</v>
      </c>
    </row>
    <row r="106" spans="2:27" ht="15" customHeight="1">
      <c r="B106" s="97" t="s">
        <v>144</v>
      </c>
      <c r="C106" s="20"/>
      <c r="D106" s="20"/>
      <c r="E106" s="22">
        <v>86</v>
      </c>
      <c r="F106" s="140">
        <v>159</v>
      </c>
      <c r="G106" s="141">
        <v>287</v>
      </c>
      <c r="H106" s="140">
        <v>56</v>
      </c>
      <c r="I106" s="138">
        <v>104</v>
      </c>
      <c r="J106" s="138">
        <v>1</v>
      </c>
      <c r="K106" s="138">
        <v>5</v>
      </c>
      <c r="L106" s="71">
        <f t="shared" si="10"/>
        <v>57</v>
      </c>
      <c r="M106" s="88">
        <f t="shared" si="11"/>
        <v>109</v>
      </c>
      <c r="N106" s="142">
        <v>14</v>
      </c>
      <c r="O106" s="138">
        <v>1</v>
      </c>
      <c r="P106" s="138">
        <v>99</v>
      </c>
      <c r="Q106" s="141">
        <v>114</v>
      </c>
      <c r="R106" s="140">
        <v>827</v>
      </c>
      <c r="S106" s="143">
        <v>1154</v>
      </c>
      <c r="T106" s="147">
        <v>181</v>
      </c>
      <c r="U106" s="151">
        <v>43</v>
      </c>
      <c r="V106" s="148">
        <f aca="true" t="shared" si="12" ref="V106:V119">SUM(L106+Q106+R106-T106-U106)</f>
        <v>774</v>
      </c>
      <c r="W106" s="152">
        <f aca="true" t="shared" si="13" ref="W106:W119">SUM(M106+Q106+S106-T106-U106)</f>
        <v>1153</v>
      </c>
      <c r="X106" s="140">
        <v>10</v>
      </c>
      <c r="Y106" s="138">
        <v>10</v>
      </c>
      <c r="Z106" s="138">
        <v>34</v>
      </c>
      <c r="AA106" s="143">
        <v>34</v>
      </c>
    </row>
    <row r="107" spans="2:27" ht="15" customHeight="1">
      <c r="B107" s="97" t="s">
        <v>145</v>
      </c>
      <c r="C107" s="20">
        <v>1</v>
      </c>
      <c r="D107" s="20" t="s">
        <v>52</v>
      </c>
      <c r="E107" s="22">
        <v>87</v>
      </c>
      <c r="F107" s="140">
        <v>9</v>
      </c>
      <c r="G107" s="141">
        <v>17</v>
      </c>
      <c r="H107" s="140">
        <v>2</v>
      </c>
      <c r="I107" s="138">
        <v>3</v>
      </c>
      <c r="J107" s="138"/>
      <c r="K107" s="138"/>
      <c r="L107" s="71">
        <f t="shared" si="10"/>
        <v>2</v>
      </c>
      <c r="M107" s="88">
        <f t="shared" si="11"/>
        <v>3</v>
      </c>
      <c r="N107" s="142">
        <v>1</v>
      </c>
      <c r="O107" s="138"/>
      <c r="P107" s="138">
        <v>2</v>
      </c>
      <c r="Q107" s="141">
        <v>3</v>
      </c>
      <c r="R107" s="140">
        <v>57</v>
      </c>
      <c r="S107" s="143">
        <v>78</v>
      </c>
      <c r="T107" s="147">
        <v>10</v>
      </c>
      <c r="U107" s="151">
        <v>3</v>
      </c>
      <c r="V107" s="148">
        <f t="shared" si="12"/>
        <v>49</v>
      </c>
      <c r="W107" s="152">
        <f t="shared" si="13"/>
        <v>71</v>
      </c>
      <c r="X107" s="140"/>
      <c r="Y107" s="138"/>
      <c r="Z107" s="138">
        <v>2</v>
      </c>
      <c r="AA107" s="143">
        <v>2</v>
      </c>
    </row>
    <row r="108" spans="2:27" ht="15" customHeight="1">
      <c r="B108" s="97" t="s">
        <v>146</v>
      </c>
      <c r="C108" s="20"/>
      <c r="D108" s="20"/>
      <c r="E108" s="21">
        <v>88</v>
      </c>
      <c r="F108" s="140">
        <v>480</v>
      </c>
      <c r="G108" s="141">
        <v>1005</v>
      </c>
      <c r="H108" s="140">
        <v>149</v>
      </c>
      <c r="I108" s="138">
        <v>339</v>
      </c>
      <c r="J108" s="138">
        <v>9</v>
      </c>
      <c r="K108" s="138">
        <v>35</v>
      </c>
      <c r="L108" s="71">
        <f t="shared" si="10"/>
        <v>158</v>
      </c>
      <c r="M108" s="88">
        <f t="shared" si="11"/>
        <v>374</v>
      </c>
      <c r="N108" s="142">
        <v>28</v>
      </c>
      <c r="O108" s="138"/>
      <c r="P108" s="138">
        <v>99</v>
      </c>
      <c r="Q108" s="141">
        <v>128</v>
      </c>
      <c r="R108" s="140">
        <v>1647</v>
      </c>
      <c r="S108" s="143">
        <v>2499</v>
      </c>
      <c r="T108" s="147">
        <v>336</v>
      </c>
      <c r="U108" s="151">
        <v>61</v>
      </c>
      <c r="V108" s="148">
        <f t="shared" si="12"/>
        <v>1536</v>
      </c>
      <c r="W108" s="152">
        <f t="shared" si="13"/>
        <v>2604</v>
      </c>
      <c r="X108" s="140">
        <v>19</v>
      </c>
      <c r="Y108" s="138">
        <v>19</v>
      </c>
      <c r="Z108" s="138">
        <v>98</v>
      </c>
      <c r="AA108" s="143">
        <v>98</v>
      </c>
    </row>
    <row r="109" spans="2:27" ht="15" customHeight="1">
      <c r="B109" s="97" t="s">
        <v>147</v>
      </c>
      <c r="C109" s="20" t="s">
        <v>63</v>
      </c>
      <c r="D109" s="20"/>
      <c r="E109" s="22">
        <v>89</v>
      </c>
      <c r="F109" s="140">
        <v>3802</v>
      </c>
      <c r="G109" s="141">
        <v>8089</v>
      </c>
      <c r="H109" s="140">
        <v>1334</v>
      </c>
      <c r="I109" s="138">
        <v>3277</v>
      </c>
      <c r="J109" s="138">
        <v>91</v>
      </c>
      <c r="K109" s="138">
        <v>365</v>
      </c>
      <c r="L109" s="71">
        <f t="shared" si="10"/>
        <v>1425</v>
      </c>
      <c r="M109" s="88">
        <f t="shared" si="11"/>
        <v>3642</v>
      </c>
      <c r="N109" s="142">
        <v>280</v>
      </c>
      <c r="O109" s="138">
        <v>5</v>
      </c>
      <c r="P109" s="138">
        <v>714</v>
      </c>
      <c r="Q109" s="141">
        <v>1000</v>
      </c>
      <c r="R109" s="140">
        <v>7756</v>
      </c>
      <c r="S109" s="143">
        <v>12176</v>
      </c>
      <c r="T109" s="147">
        <v>1506</v>
      </c>
      <c r="U109" s="151">
        <v>173</v>
      </c>
      <c r="V109" s="148">
        <f t="shared" si="12"/>
        <v>8502</v>
      </c>
      <c r="W109" s="152">
        <f t="shared" si="13"/>
        <v>15139</v>
      </c>
      <c r="X109" s="140">
        <v>226</v>
      </c>
      <c r="Y109" s="138">
        <v>228</v>
      </c>
      <c r="Z109" s="138">
        <v>943</v>
      </c>
      <c r="AA109" s="143">
        <v>944</v>
      </c>
    </row>
    <row r="110" spans="2:27" ht="15" customHeight="1">
      <c r="B110" s="97" t="s">
        <v>148</v>
      </c>
      <c r="C110" s="20"/>
      <c r="D110" s="20"/>
      <c r="E110" s="22">
        <v>90</v>
      </c>
      <c r="F110" s="140">
        <v>27</v>
      </c>
      <c r="G110" s="141">
        <v>44</v>
      </c>
      <c r="H110" s="140">
        <v>5</v>
      </c>
      <c r="I110" s="138">
        <v>12</v>
      </c>
      <c r="J110" s="138"/>
      <c r="K110" s="138"/>
      <c r="L110" s="71">
        <f t="shared" si="10"/>
        <v>5</v>
      </c>
      <c r="M110" s="88">
        <f t="shared" si="11"/>
        <v>12</v>
      </c>
      <c r="N110" s="142">
        <v>4</v>
      </c>
      <c r="O110" s="138"/>
      <c r="P110" s="138">
        <v>12</v>
      </c>
      <c r="Q110" s="141">
        <v>16</v>
      </c>
      <c r="R110" s="140">
        <v>179</v>
      </c>
      <c r="S110" s="143">
        <v>201</v>
      </c>
      <c r="T110" s="147">
        <v>46</v>
      </c>
      <c r="U110" s="151">
        <v>10</v>
      </c>
      <c r="V110" s="148">
        <f t="shared" si="12"/>
        <v>144</v>
      </c>
      <c r="W110" s="152">
        <f t="shared" si="13"/>
        <v>173</v>
      </c>
      <c r="X110" s="140"/>
      <c r="Y110" s="138"/>
      <c r="Z110" s="138">
        <v>7</v>
      </c>
      <c r="AA110" s="143">
        <v>7</v>
      </c>
    </row>
    <row r="111" spans="2:27" ht="15" customHeight="1">
      <c r="B111" s="97" t="s">
        <v>149</v>
      </c>
      <c r="C111" s="20"/>
      <c r="D111" s="20"/>
      <c r="E111" s="21">
        <v>91</v>
      </c>
      <c r="F111" s="140">
        <v>31</v>
      </c>
      <c r="G111" s="141">
        <v>50</v>
      </c>
      <c r="H111" s="140">
        <v>12</v>
      </c>
      <c r="I111" s="138">
        <v>20</v>
      </c>
      <c r="J111" s="138"/>
      <c r="K111" s="138"/>
      <c r="L111" s="71">
        <f t="shared" si="10"/>
        <v>12</v>
      </c>
      <c r="M111" s="88">
        <f t="shared" si="11"/>
        <v>20</v>
      </c>
      <c r="N111" s="142">
        <v>2</v>
      </c>
      <c r="O111" s="138"/>
      <c r="P111" s="138">
        <v>10</v>
      </c>
      <c r="Q111" s="141">
        <v>12</v>
      </c>
      <c r="R111" s="140">
        <v>243</v>
      </c>
      <c r="S111" s="143">
        <v>339</v>
      </c>
      <c r="T111" s="147">
        <v>46</v>
      </c>
      <c r="U111" s="151">
        <v>9</v>
      </c>
      <c r="V111" s="148">
        <f t="shared" si="12"/>
        <v>212</v>
      </c>
      <c r="W111" s="152">
        <f t="shared" si="13"/>
        <v>316</v>
      </c>
      <c r="X111" s="140">
        <v>2</v>
      </c>
      <c r="Y111" s="138">
        <v>2</v>
      </c>
      <c r="Z111" s="138">
        <v>12</v>
      </c>
      <c r="AA111" s="143">
        <v>12</v>
      </c>
    </row>
    <row r="112" spans="2:27" ht="15" customHeight="1">
      <c r="B112" s="97" t="s">
        <v>150</v>
      </c>
      <c r="C112" s="20">
        <v>1</v>
      </c>
      <c r="D112" s="20" t="s">
        <v>52</v>
      </c>
      <c r="E112" s="22">
        <v>92</v>
      </c>
      <c r="F112" s="140">
        <v>19</v>
      </c>
      <c r="G112" s="141">
        <v>39</v>
      </c>
      <c r="H112" s="140">
        <v>6</v>
      </c>
      <c r="I112" s="138">
        <v>16</v>
      </c>
      <c r="J112" s="138"/>
      <c r="K112" s="138"/>
      <c r="L112" s="71">
        <f t="shared" si="10"/>
        <v>6</v>
      </c>
      <c r="M112" s="88">
        <f t="shared" si="11"/>
        <v>16</v>
      </c>
      <c r="N112" s="142"/>
      <c r="O112" s="138">
        <v>1</v>
      </c>
      <c r="P112" s="138">
        <v>13</v>
      </c>
      <c r="Q112" s="141">
        <v>14</v>
      </c>
      <c r="R112" s="140">
        <v>91</v>
      </c>
      <c r="S112" s="143">
        <v>125</v>
      </c>
      <c r="T112" s="147">
        <v>20</v>
      </c>
      <c r="U112" s="151">
        <v>5</v>
      </c>
      <c r="V112" s="148">
        <f t="shared" si="12"/>
        <v>86</v>
      </c>
      <c r="W112" s="152">
        <f t="shared" si="13"/>
        <v>130</v>
      </c>
      <c r="X112" s="140">
        <v>1</v>
      </c>
      <c r="Y112" s="138">
        <v>1</v>
      </c>
      <c r="Z112" s="138">
        <v>9</v>
      </c>
      <c r="AA112" s="143">
        <v>9</v>
      </c>
    </row>
    <row r="113" spans="2:27" ht="15" customHeight="1">
      <c r="B113" s="97" t="s">
        <v>151</v>
      </c>
      <c r="C113" s="20" t="s">
        <v>63</v>
      </c>
      <c r="D113" s="20"/>
      <c r="E113" s="22">
        <v>93</v>
      </c>
      <c r="F113" s="140">
        <v>10788</v>
      </c>
      <c r="G113" s="141">
        <v>21829</v>
      </c>
      <c r="H113" s="140">
        <v>3966</v>
      </c>
      <c r="I113" s="138">
        <v>9964</v>
      </c>
      <c r="J113" s="138">
        <v>110</v>
      </c>
      <c r="K113" s="138">
        <v>456</v>
      </c>
      <c r="L113" s="71">
        <f t="shared" si="10"/>
        <v>4076</v>
      </c>
      <c r="M113" s="88">
        <f t="shared" si="11"/>
        <v>10420</v>
      </c>
      <c r="N113" s="142">
        <v>545</v>
      </c>
      <c r="O113" s="138">
        <v>5</v>
      </c>
      <c r="P113" s="138">
        <v>1332</v>
      </c>
      <c r="Q113" s="141">
        <v>1882</v>
      </c>
      <c r="R113" s="140">
        <v>15814</v>
      </c>
      <c r="S113" s="143">
        <v>23204</v>
      </c>
      <c r="T113" s="147">
        <v>2882</v>
      </c>
      <c r="U113" s="151">
        <v>273</v>
      </c>
      <c r="V113" s="148">
        <f t="shared" si="12"/>
        <v>18617</v>
      </c>
      <c r="W113" s="152">
        <f t="shared" si="13"/>
        <v>32351</v>
      </c>
      <c r="X113" s="140">
        <v>505</v>
      </c>
      <c r="Y113" s="138">
        <v>516</v>
      </c>
      <c r="Z113" s="138">
        <v>3059</v>
      </c>
      <c r="AA113" s="143">
        <v>3061</v>
      </c>
    </row>
    <row r="114" spans="2:27" ht="15" customHeight="1">
      <c r="B114" s="97" t="s">
        <v>152</v>
      </c>
      <c r="C114" s="20"/>
      <c r="D114" s="20"/>
      <c r="E114" s="22">
        <v>95</v>
      </c>
      <c r="F114" s="140">
        <v>1350</v>
      </c>
      <c r="G114" s="141">
        <v>2737</v>
      </c>
      <c r="H114" s="140">
        <v>394</v>
      </c>
      <c r="I114" s="138">
        <v>943</v>
      </c>
      <c r="J114" s="138">
        <v>31</v>
      </c>
      <c r="K114" s="138">
        <v>116</v>
      </c>
      <c r="L114" s="71">
        <f t="shared" si="10"/>
        <v>425</v>
      </c>
      <c r="M114" s="88">
        <f t="shared" si="11"/>
        <v>1059</v>
      </c>
      <c r="N114" s="142">
        <v>79</v>
      </c>
      <c r="O114" s="138">
        <v>2</v>
      </c>
      <c r="P114" s="138">
        <v>302</v>
      </c>
      <c r="Q114" s="141">
        <v>384</v>
      </c>
      <c r="R114" s="140">
        <v>3087</v>
      </c>
      <c r="S114" s="143">
        <v>4667</v>
      </c>
      <c r="T114" s="147">
        <v>689</v>
      </c>
      <c r="U114" s="151">
        <v>89</v>
      </c>
      <c r="V114" s="148">
        <f t="shared" si="12"/>
        <v>3118</v>
      </c>
      <c r="W114" s="152">
        <f t="shared" si="13"/>
        <v>5332</v>
      </c>
      <c r="X114" s="140">
        <v>56</v>
      </c>
      <c r="Y114" s="138">
        <v>61</v>
      </c>
      <c r="Z114" s="138">
        <v>279</v>
      </c>
      <c r="AA114" s="143">
        <v>279</v>
      </c>
    </row>
    <row r="115" spans="2:27" ht="15" customHeight="1">
      <c r="B115" s="97" t="s">
        <v>153</v>
      </c>
      <c r="C115" s="20"/>
      <c r="D115" s="20"/>
      <c r="E115" s="22">
        <v>96</v>
      </c>
      <c r="F115" s="140">
        <v>176</v>
      </c>
      <c r="G115" s="141">
        <v>272</v>
      </c>
      <c r="H115" s="140">
        <v>43</v>
      </c>
      <c r="I115" s="138">
        <v>77</v>
      </c>
      <c r="J115" s="138">
        <v>4</v>
      </c>
      <c r="K115" s="138">
        <v>16</v>
      </c>
      <c r="L115" s="71">
        <f t="shared" si="10"/>
        <v>47</v>
      </c>
      <c r="M115" s="88">
        <f t="shared" si="11"/>
        <v>93</v>
      </c>
      <c r="N115" s="142">
        <v>23</v>
      </c>
      <c r="O115" s="138"/>
      <c r="P115" s="138">
        <v>72</v>
      </c>
      <c r="Q115" s="141">
        <v>95</v>
      </c>
      <c r="R115" s="140">
        <v>1123</v>
      </c>
      <c r="S115" s="143">
        <v>1450</v>
      </c>
      <c r="T115" s="147">
        <v>265</v>
      </c>
      <c r="U115" s="151">
        <v>80</v>
      </c>
      <c r="V115" s="148">
        <f t="shared" si="12"/>
        <v>920</v>
      </c>
      <c r="W115" s="152">
        <f t="shared" si="13"/>
        <v>1293</v>
      </c>
      <c r="X115" s="140">
        <v>9</v>
      </c>
      <c r="Y115" s="138">
        <v>9</v>
      </c>
      <c r="Z115" s="138">
        <v>53</v>
      </c>
      <c r="AA115" s="143">
        <v>53</v>
      </c>
    </row>
    <row r="116" spans="2:27" ht="15" customHeight="1">
      <c r="B116" s="97" t="s">
        <v>154</v>
      </c>
      <c r="C116" s="20"/>
      <c r="D116" s="20"/>
      <c r="E116" s="21">
        <v>94</v>
      </c>
      <c r="F116" s="140">
        <v>195</v>
      </c>
      <c r="G116" s="141">
        <v>325</v>
      </c>
      <c r="H116" s="140">
        <v>45</v>
      </c>
      <c r="I116" s="138">
        <v>90</v>
      </c>
      <c r="J116" s="138">
        <v>1</v>
      </c>
      <c r="K116" s="138">
        <v>5</v>
      </c>
      <c r="L116" s="71">
        <f t="shared" si="10"/>
        <v>46</v>
      </c>
      <c r="M116" s="88">
        <f t="shared" si="11"/>
        <v>95</v>
      </c>
      <c r="N116" s="142">
        <v>29</v>
      </c>
      <c r="O116" s="138">
        <v>2</v>
      </c>
      <c r="P116" s="138">
        <v>50</v>
      </c>
      <c r="Q116" s="141">
        <v>81</v>
      </c>
      <c r="R116" s="140">
        <v>1134</v>
      </c>
      <c r="S116" s="143">
        <v>1416</v>
      </c>
      <c r="T116" s="147">
        <v>269</v>
      </c>
      <c r="U116" s="151">
        <v>56</v>
      </c>
      <c r="V116" s="148">
        <f t="shared" si="12"/>
        <v>936</v>
      </c>
      <c r="W116" s="152">
        <f t="shared" si="13"/>
        <v>1267</v>
      </c>
      <c r="X116" s="140">
        <v>20</v>
      </c>
      <c r="Y116" s="138">
        <v>20</v>
      </c>
      <c r="Z116" s="138">
        <v>71</v>
      </c>
      <c r="AA116" s="143">
        <v>71</v>
      </c>
    </row>
    <row r="117" spans="2:27" ht="15" customHeight="1">
      <c r="B117" s="97" t="s">
        <v>155</v>
      </c>
      <c r="C117" s="20"/>
      <c r="D117" s="20"/>
      <c r="E117" s="21">
        <v>97</v>
      </c>
      <c r="F117" s="140">
        <v>144</v>
      </c>
      <c r="G117" s="141">
        <v>169</v>
      </c>
      <c r="H117" s="140">
        <v>13</v>
      </c>
      <c r="I117" s="138">
        <v>22</v>
      </c>
      <c r="J117" s="138"/>
      <c r="K117" s="138">
        <v>2</v>
      </c>
      <c r="L117" s="71">
        <f aca="true" t="shared" si="14" ref="L117:L148">SUM(H117,J117)</f>
        <v>13</v>
      </c>
      <c r="M117" s="88">
        <f aca="true" t="shared" si="15" ref="M117:M148">SUM(I117,K117)</f>
        <v>24</v>
      </c>
      <c r="N117" s="142">
        <v>8</v>
      </c>
      <c r="O117" s="138"/>
      <c r="P117" s="138">
        <v>19</v>
      </c>
      <c r="Q117" s="141">
        <v>28</v>
      </c>
      <c r="R117" s="140">
        <v>544</v>
      </c>
      <c r="S117" s="143">
        <v>684</v>
      </c>
      <c r="T117" s="147">
        <v>108</v>
      </c>
      <c r="U117" s="151">
        <v>37</v>
      </c>
      <c r="V117" s="148">
        <f t="shared" si="12"/>
        <v>440</v>
      </c>
      <c r="W117" s="152">
        <f t="shared" si="13"/>
        <v>591</v>
      </c>
      <c r="X117" s="140">
        <v>6</v>
      </c>
      <c r="Y117" s="138">
        <v>6</v>
      </c>
      <c r="Z117" s="138">
        <v>65</v>
      </c>
      <c r="AA117" s="143">
        <v>65</v>
      </c>
    </row>
    <row r="118" spans="2:27" ht="15" customHeight="1">
      <c r="B118" s="97" t="s">
        <v>156</v>
      </c>
      <c r="C118" s="20">
        <v>1</v>
      </c>
      <c r="D118" s="20" t="s">
        <v>52</v>
      </c>
      <c r="E118" s="22">
        <v>98</v>
      </c>
      <c r="F118" s="140">
        <v>8</v>
      </c>
      <c r="G118" s="141">
        <v>14</v>
      </c>
      <c r="H118" s="140">
        <v>2</v>
      </c>
      <c r="I118" s="138">
        <v>4</v>
      </c>
      <c r="J118" s="138"/>
      <c r="K118" s="138"/>
      <c r="L118" s="71">
        <f t="shared" si="14"/>
        <v>2</v>
      </c>
      <c r="M118" s="88">
        <f t="shared" si="15"/>
        <v>4</v>
      </c>
      <c r="N118" s="142">
        <v>3</v>
      </c>
      <c r="O118" s="138"/>
      <c r="P118" s="138">
        <v>11</v>
      </c>
      <c r="Q118" s="141">
        <v>14</v>
      </c>
      <c r="R118" s="140">
        <v>54</v>
      </c>
      <c r="S118" s="143">
        <v>76</v>
      </c>
      <c r="T118" s="147">
        <v>11</v>
      </c>
      <c r="U118" s="151">
        <v>3</v>
      </c>
      <c r="V118" s="148">
        <f t="shared" si="12"/>
        <v>56</v>
      </c>
      <c r="W118" s="152">
        <f t="shared" si="13"/>
        <v>80</v>
      </c>
      <c r="X118" s="140">
        <v>1</v>
      </c>
      <c r="Y118" s="138">
        <v>1</v>
      </c>
      <c r="Z118" s="138">
        <v>2</v>
      </c>
      <c r="AA118" s="143">
        <v>2</v>
      </c>
    </row>
    <row r="119" spans="2:27" ht="15" customHeight="1">
      <c r="B119" s="97" t="s">
        <v>157</v>
      </c>
      <c r="C119" s="20"/>
      <c r="D119" s="20"/>
      <c r="E119" s="22">
        <v>99</v>
      </c>
      <c r="F119" s="140">
        <v>69</v>
      </c>
      <c r="G119" s="141">
        <v>116</v>
      </c>
      <c r="H119" s="140">
        <v>23</v>
      </c>
      <c r="I119" s="138">
        <v>48</v>
      </c>
      <c r="J119" s="138"/>
      <c r="K119" s="138">
        <v>1</v>
      </c>
      <c r="L119" s="71">
        <f t="shared" si="14"/>
        <v>23</v>
      </c>
      <c r="M119" s="88">
        <f t="shared" si="15"/>
        <v>49</v>
      </c>
      <c r="N119" s="142">
        <v>8</v>
      </c>
      <c r="O119" s="138"/>
      <c r="P119" s="138">
        <v>15</v>
      </c>
      <c r="Q119" s="141">
        <v>23</v>
      </c>
      <c r="R119" s="140">
        <v>259</v>
      </c>
      <c r="S119" s="143">
        <v>352</v>
      </c>
      <c r="T119" s="147">
        <v>47</v>
      </c>
      <c r="U119" s="151">
        <v>9</v>
      </c>
      <c r="V119" s="148">
        <f t="shared" si="12"/>
        <v>249</v>
      </c>
      <c r="W119" s="152">
        <f t="shared" si="13"/>
        <v>368</v>
      </c>
      <c r="X119" s="140">
        <v>4</v>
      </c>
      <c r="Y119" s="138">
        <v>5</v>
      </c>
      <c r="Z119" s="138">
        <v>24</v>
      </c>
      <c r="AA119" s="143">
        <v>24</v>
      </c>
    </row>
    <row r="120" spans="2:27" ht="15" customHeight="1">
      <c r="B120" s="97" t="s">
        <v>158</v>
      </c>
      <c r="C120" s="20">
        <v>1</v>
      </c>
      <c r="D120" s="20" t="s">
        <v>52</v>
      </c>
      <c r="E120" s="21">
        <v>100</v>
      </c>
      <c r="F120" s="140">
        <v>35</v>
      </c>
      <c r="G120" s="141">
        <v>67</v>
      </c>
      <c r="H120" s="140">
        <v>10</v>
      </c>
      <c r="I120" s="138">
        <v>20</v>
      </c>
      <c r="J120" s="138">
        <v>1</v>
      </c>
      <c r="K120" s="138">
        <v>2</v>
      </c>
      <c r="L120" s="71">
        <f t="shared" si="14"/>
        <v>11</v>
      </c>
      <c r="M120" s="88">
        <f t="shared" si="15"/>
        <v>22</v>
      </c>
      <c r="N120" s="142"/>
      <c r="O120" s="138"/>
      <c r="P120" s="138">
        <v>14</v>
      </c>
      <c r="Q120" s="141">
        <v>14</v>
      </c>
      <c r="R120" s="140">
        <v>87</v>
      </c>
      <c r="S120" s="143">
        <v>143</v>
      </c>
      <c r="T120" s="147">
        <v>15</v>
      </c>
      <c r="U120" s="151">
        <v>3</v>
      </c>
      <c r="V120" s="148">
        <v>221</v>
      </c>
      <c r="W120" s="152">
        <v>331</v>
      </c>
      <c r="X120" s="140">
        <v>1</v>
      </c>
      <c r="Y120" s="138">
        <v>1</v>
      </c>
      <c r="Z120" s="138">
        <v>10</v>
      </c>
      <c r="AA120" s="143">
        <v>10</v>
      </c>
    </row>
    <row r="121" spans="2:27" ht="15" customHeight="1">
      <c r="B121" s="97" t="s">
        <v>159</v>
      </c>
      <c r="C121" s="20"/>
      <c r="D121" s="20"/>
      <c r="E121" s="22">
        <v>101</v>
      </c>
      <c r="F121" s="140">
        <v>130</v>
      </c>
      <c r="G121" s="141">
        <v>203</v>
      </c>
      <c r="H121" s="140">
        <v>44</v>
      </c>
      <c r="I121" s="138">
        <v>82</v>
      </c>
      <c r="J121" s="138">
        <v>2</v>
      </c>
      <c r="K121" s="138">
        <v>8</v>
      </c>
      <c r="L121" s="71">
        <f t="shared" si="14"/>
        <v>46</v>
      </c>
      <c r="M121" s="88">
        <f t="shared" si="15"/>
        <v>90</v>
      </c>
      <c r="N121" s="142">
        <v>14</v>
      </c>
      <c r="O121" s="138"/>
      <c r="P121" s="138">
        <v>54</v>
      </c>
      <c r="Q121" s="141">
        <v>68</v>
      </c>
      <c r="R121" s="140">
        <v>701</v>
      </c>
      <c r="S121" s="143">
        <v>867</v>
      </c>
      <c r="T121" s="147">
        <v>174</v>
      </c>
      <c r="U121" s="151">
        <v>25</v>
      </c>
      <c r="V121" s="148">
        <f aca="true" t="shared" si="16" ref="V121:V152">SUM(L121+Q121+R121-T121-U121)</f>
        <v>616</v>
      </c>
      <c r="W121" s="152">
        <f aca="true" t="shared" si="17" ref="W121:W152">SUM(M121+Q121+S121-T121-U121)</f>
        <v>826</v>
      </c>
      <c r="X121" s="140">
        <v>9</v>
      </c>
      <c r="Y121" s="138">
        <v>9</v>
      </c>
      <c r="Z121" s="138">
        <v>38</v>
      </c>
      <c r="AA121" s="143">
        <v>38</v>
      </c>
    </row>
    <row r="122" spans="2:27" ht="15" customHeight="1">
      <c r="B122" s="97" t="s">
        <v>160</v>
      </c>
      <c r="C122" s="20">
        <v>1</v>
      </c>
      <c r="D122" s="20" t="s">
        <v>47</v>
      </c>
      <c r="E122" s="22">
        <v>102</v>
      </c>
      <c r="F122" s="140">
        <v>24</v>
      </c>
      <c r="G122" s="141">
        <v>42</v>
      </c>
      <c r="H122" s="140">
        <v>10</v>
      </c>
      <c r="I122" s="138">
        <v>20</v>
      </c>
      <c r="J122" s="138"/>
      <c r="K122" s="138">
        <v>2</v>
      </c>
      <c r="L122" s="71">
        <f t="shared" si="14"/>
        <v>10</v>
      </c>
      <c r="M122" s="88">
        <f t="shared" si="15"/>
        <v>22</v>
      </c>
      <c r="N122" s="142"/>
      <c r="O122" s="138">
        <v>1</v>
      </c>
      <c r="P122" s="138">
        <v>11</v>
      </c>
      <c r="Q122" s="141">
        <v>12</v>
      </c>
      <c r="R122" s="140">
        <v>108</v>
      </c>
      <c r="S122" s="143">
        <v>163</v>
      </c>
      <c r="T122" s="147">
        <v>18</v>
      </c>
      <c r="U122" s="151">
        <v>6</v>
      </c>
      <c r="V122" s="148">
        <f t="shared" si="16"/>
        <v>106</v>
      </c>
      <c r="W122" s="152">
        <f t="shared" si="17"/>
        <v>173</v>
      </c>
      <c r="X122" s="140">
        <v>1</v>
      </c>
      <c r="Y122" s="138">
        <v>1</v>
      </c>
      <c r="Z122" s="138">
        <v>6</v>
      </c>
      <c r="AA122" s="143">
        <v>6</v>
      </c>
    </row>
    <row r="123" spans="2:27" ht="15" customHeight="1">
      <c r="B123" s="97" t="s">
        <v>161</v>
      </c>
      <c r="C123" s="20" t="s">
        <v>63</v>
      </c>
      <c r="D123" s="20"/>
      <c r="E123" s="21">
        <v>103</v>
      </c>
      <c r="F123" s="140">
        <v>1532</v>
      </c>
      <c r="G123" s="141">
        <v>2608</v>
      </c>
      <c r="H123" s="140">
        <v>513</v>
      </c>
      <c r="I123" s="138">
        <v>1090</v>
      </c>
      <c r="J123" s="138">
        <v>11</v>
      </c>
      <c r="K123" s="138">
        <v>42</v>
      </c>
      <c r="L123" s="71">
        <f t="shared" si="14"/>
        <v>524</v>
      </c>
      <c r="M123" s="88">
        <f t="shared" si="15"/>
        <v>1132</v>
      </c>
      <c r="N123" s="142">
        <v>127</v>
      </c>
      <c r="O123" s="138">
        <v>2</v>
      </c>
      <c r="P123" s="138">
        <v>309</v>
      </c>
      <c r="Q123" s="141">
        <v>439</v>
      </c>
      <c r="R123" s="140">
        <v>4780</v>
      </c>
      <c r="S123" s="143">
        <v>6520</v>
      </c>
      <c r="T123" s="147">
        <v>1138</v>
      </c>
      <c r="U123" s="151">
        <v>196</v>
      </c>
      <c r="V123" s="148">
        <f t="shared" si="16"/>
        <v>4409</v>
      </c>
      <c r="W123" s="152">
        <f t="shared" si="17"/>
        <v>6757</v>
      </c>
      <c r="X123" s="140">
        <v>117</v>
      </c>
      <c r="Y123" s="138">
        <v>117</v>
      </c>
      <c r="Z123" s="138">
        <v>401</v>
      </c>
      <c r="AA123" s="143">
        <v>401</v>
      </c>
    </row>
    <row r="124" spans="2:27" ht="15" customHeight="1">
      <c r="B124" s="97" t="s">
        <v>162</v>
      </c>
      <c r="C124" s="20"/>
      <c r="D124" s="20"/>
      <c r="E124" s="22">
        <v>104</v>
      </c>
      <c r="F124" s="140">
        <v>1379</v>
      </c>
      <c r="G124" s="141">
        <v>2573</v>
      </c>
      <c r="H124" s="140">
        <v>358</v>
      </c>
      <c r="I124" s="138">
        <v>820</v>
      </c>
      <c r="J124" s="138">
        <v>30</v>
      </c>
      <c r="K124" s="138">
        <v>115</v>
      </c>
      <c r="L124" s="71">
        <f t="shared" si="14"/>
        <v>388</v>
      </c>
      <c r="M124" s="88">
        <f t="shared" si="15"/>
        <v>935</v>
      </c>
      <c r="N124" s="142">
        <v>100</v>
      </c>
      <c r="O124" s="138">
        <v>2</v>
      </c>
      <c r="P124" s="138">
        <v>394</v>
      </c>
      <c r="Q124" s="141">
        <v>497</v>
      </c>
      <c r="R124" s="140">
        <v>3574</v>
      </c>
      <c r="S124" s="143">
        <v>5162</v>
      </c>
      <c r="T124" s="147">
        <v>878</v>
      </c>
      <c r="U124" s="151">
        <v>161</v>
      </c>
      <c r="V124" s="148">
        <f t="shared" si="16"/>
        <v>3420</v>
      </c>
      <c r="W124" s="152">
        <f t="shared" si="17"/>
        <v>5555</v>
      </c>
      <c r="X124" s="140">
        <v>29</v>
      </c>
      <c r="Y124" s="138">
        <v>30</v>
      </c>
      <c r="Z124" s="138">
        <v>147</v>
      </c>
      <c r="AA124" s="143">
        <v>147</v>
      </c>
    </row>
    <row r="125" spans="2:27" ht="15" customHeight="1">
      <c r="B125" s="97" t="s">
        <v>163</v>
      </c>
      <c r="C125" s="20"/>
      <c r="D125" s="20"/>
      <c r="E125" s="22">
        <v>105</v>
      </c>
      <c r="F125" s="140">
        <v>22</v>
      </c>
      <c r="G125" s="141">
        <v>39</v>
      </c>
      <c r="H125" s="140">
        <v>5</v>
      </c>
      <c r="I125" s="138">
        <v>16</v>
      </c>
      <c r="J125" s="138"/>
      <c r="K125" s="138"/>
      <c r="L125" s="71">
        <f t="shared" si="14"/>
        <v>5</v>
      </c>
      <c r="M125" s="88">
        <f t="shared" si="15"/>
        <v>16</v>
      </c>
      <c r="N125" s="142">
        <v>2</v>
      </c>
      <c r="O125" s="138">
        <v>1</v>
      </c>
      <c r="P125" s="138">
        <v>15</v>
      </c>
      <c r="Q125" s="141">
        <v>18</v>
      </c>
      <c r="R125" s="140">
        <v>142</v>
      </c>
      <c r="S125" s="143">
        <v>190</v>
      </c>
      <c r="T125" s="147">
        <v>42</v>
      </c>
      <c r="U125" s="151">
        <v>9</v>
      </c>
      <c r="V125" s="148">
        <f t="shared" si="16"/>
        <v>114</v>
      </c>
      <c r="W125" s="152">
        <f t="shared" si="17"/>
        <v>173</v>
      </c>
      <c r="X125" s="140">
        <v>1</v>
      </c>
      <c r="Y125" s="138">
        <v>1</v>
      </c>
      <c r="Z125" s="138">
        <v>9</v>
      </c>
      <c r="AA125" s="143">
        <v>9</v>
      </c>
    </row>
    <row r="126" spans="2:27" ht="15" customHeight="1">
      <c r="B126" s="97" t="s">
        <v>204</v>
      </c>
      <c r="C126" s="20"/>
      <c r="D126" s="20"/>
      <c r="E126" s="21">
        <v>106</v>
      </c>
      <c r="F126" s="140">
        <v>35</v>
      </c>
      <c r="G126" s="141">
        <v>55</v>
      </c>
      <c r="H126" s="140">
        <v>12</v>
      </c>
      <c r="I126" s="138">
        <v>23</v>
      </c>
      <c r="J126" s="138"/>
      <c r="K126" s="138"/>
      <c r="L126" s="71">
        <f t="shared" si="14"/>
        <v>12</v>
      </c>
      <c r="M126" s="88">
        <f t="shared" si="15"/>
        <v>23</v>
      </c>
      <c r="N126" s="142">
        <v>5</v>
      </c>
      <c r="O126" s="138"/>
      <c r="P126" s="138">
        <v>19</v>
      </c>
      <c r="Q126" s="141">
        <v>25</v>
      </c>
      <c r="R126" s="140">
        <v>464</v>
      </c>
      <c r="S126" s="143">
        <v>573</v>
      </c>
      <c r="T126" s="147">
        <v>116</v>
      </c>
      <c r="U126" s="151">
        <v>34</v>
      </c>
      <c r="V126" s="148">
        <f t="shared" si="16"/>
        <v>351</v>
      </c>
      <c r="W126" s="152">
        <f t="shared" si="17"/>
        <v>471</v>
      </c>
      <c r="X126" s="140">
        <v>2</v>
      </c>
      <c r="Y126" s="138">
        <v>2</v>
      </c>
      <c r="Z126" s="138">
        <v>19</v>
      </c>
      <c r="AA126" s="143">
        <v>19</v>
      </c>
    </row>
    <row r="127" spans="2:27" ht="15" customHeight="1">
      <c r="B127" s="97" t="s">
        <v>205</v>
      </c>
      <c r="C127" s="20"/>
      <c r="D127" s="20"/>
      <c r="E127" s="22">
        <v>107</v>
      </c>
      <c r="F127" s="140">
        <v>34</v>
      </c>
      <c r="G127" s="141">
        <v>43</v>
      </c>
      <c r="H127" s="140">
        <v>9</v>
      </c>
      <c r="I127" s="138">
        <v>12</v>
      </c>
      <c r="J127" s="138"/>
      <c r="K127" s="138"/>
      <c r="L127" s="71">
        <f t="shared" si="14"/>
        <v>9</v>
      </c>
      <c r="M127" s="88">
        <f t="shared" si="15"/>
        <v>12</v>
      </c>
      <c r="N127" s="142">
        <v>7</v>
      </c>
      <c r="O127" s="138"/>
      <c r="P127" s="138">
        <v>27</v>
      </c>
      <c r="Q127" s="141">
        <v>34</v>
      </c>
      <c r="R127" s="140">
        <v>260</v>
      </c>
      <c r="S127" s="143">
        <v>306</v>
      </c>
      <c r="T127" s="147">
        <v>72</v>
      </c>
      <c r="U127" s="151">
        <v>6</v>
      </c>
      <c r="V127" s="148">
        <f t="shared" si="16"/>
        <v>225</v>
      </c>
      <c r="W127" s="152">
        <f t="shared" si="17"/>
        <v>274</v>
      </c>
      <c r="X127" s="140">
        <v>1</v>
      </c>
      <c r="Y127" s="138">
        <v>1</v>
      </c>
      <c r="Z127" s="138">
        <v>16</v>
      </c>
      <c r="AA127" s="143">
        <v>16</v>
      </c>
    </row>
    <row r="128" spans="2:27" ht="15" customHeight="1">
      <c r="B128" s="97" t="s">
        <v>206</v>
      </c>
      <c r="C128" s="20"/>
      <c r="D128" s="20"/>
      <c r="E128" s="22">
        <v>108</v>
      </c>
      <c r="F128" s="140">
        <v>34</v>
      </c>
      <c r="G128" s="141">
        <v>60</v>
      </c>
      <c r="H128" s="140">
        <v>8</v>
      </c>
      <c r="I128" s="138">
        <v>17</v>
      </c>
      <c r="J128" s="138"/>
      <c r="K128" s="138">
        <v>2</v>
      </c>
      <c r="L128" s="71">
        <f t="shared" si="14"/>
        <v>8</v>
      </c>
      <c r="M128" s="88">
        <f t="shared" si="15"/>
        <v>19</v>
      </c>
      <c r="N128" s="142"/>
      <c r="O128" s="138"/>
      <c r="P128" s="138">
        <v>16</v>
      </c>
      <c r="Q128" s="141">
        <v>16</v>
      </c>
      <c r="R128" s="140">
        <v>169</v>
      </c>
      <c r="S128" s="143">
        <v>245</v>
      </c>
      <c r="T128" s="147">
        <v>28</v>
      </c>
      <c r="U128" s="151">
        <v>8</v>
      </c>
      <c r="V128" s="148">
        <f t="shared" si="16"/>
        <v>157</v>
      </c>
      <c r="W128" s="152">
        <f t="shared" si="17"/>
        <v>244</v>
      </c>
      <c r="X128" s="140">
        <v>5</v>
      </c>
      <c r="Y128" s="138">
        <v>5</v>
      </c>
      <c r="Z128" s="138">
        <v>10</v>
      </c>
      <c r="AA128" s="143">
        <v>10</v>
      </c>
    </row>
    <row r="129" spans="2:27" ht="15" customHeight="1">
      <c r="B129" s="97" t="s">
        <v>207</v>
      </c>
      <c r="C129" s="20">
        <v>1</v>
      </c>
      <c r="D129" s="20" t="s">
        <v>47</v>
      </c>
      <c r="E129" s="21">
        <v>109</v>
      </c>
      <c r="F129" s="140">
        <v>265</v>
      </c>
      <c r="G129" s="141">
        <v>538</v>
      </c>
      <c r="H129" s="140">
        <v>97</v>
      </c>
      <c r="I129" s="138">
        <v>210</v>
      </c>
      <c r="J129" s="138">
        <v>8</v>
      </c>
      <c r="K129" s="138">
        <v>26</v>
      </c>
      <c r="L129" s="71">
        <f t="shared" si="14"/>
        <v>105</v>
      </c>
      <c r="M129" s="88">
        <f t="shared" si="15"/>
        <v>236</v>
      </c>
      <c r="N129" s="142">
        <v>11</v>
      </c>
      <c r="O129" s="138"/>
      <c r="P129" s="138">
        <v>81</v>
      </c>
      <c r="Q129" s="141">
        <v>93</v>
      </c>
      <c r="R129" s="140">
        <v>1134</v>
      </c>
      <c r="S129" s="143">
        <v>1627</v>
      </c>
      <c r="T129" s="147">
        <v>242</v>
      </c>
      <c r="U129" s="151">
        <v>71</v>
      </c>
      <c r="V129" s="148">
        <f t="shared" si="16"/>
        <v>1019</v>
      </c>
      <c r="W129" s="152">
        <f t="shared" si="17"/>
        <v>1643</v>
      </c>
      <c r="X129" s="140">
        <v>4</v>
      </c>
      <c r="Y129" s="138">
        <v>4</v>
      </c>
      <c r="Z129" s="138">
        <v>43</v>
      </c>
      <c r="AA129" s="143">
        <v>43</v>
      </c>
    </row>
    <row r="130" spans="2:27" ht="15" customHeight="1">
      <c r="B130" s="97" t="s">
        <v>208</v>
      </c>
      <c r="C130" s="20"/>
      <c r="D130" s="20"/>
      <c r="E130" s="22">
        <v>110</v>
      </c>
      <c r="F130" s="140">
        <v>186</v>
      </c>
      <c r="G130" s="141">
        <v>290</v>
      </c>
      <c r="H130" s="140">
        <v>50</v>
      </c>
      <c r="I130" s="138">
        <v>99</v>
      </c>
      <c r="J130" s="138">
        <v>4</v>
      </c>
      <c r="K130" s="138">
        <v>16</v>
      </c>
      <c r="L130" s="71">
        <f t="shared" si="14"/>
        <v>54</v>
      </c>
      <c r="M130" s="88">
        <f t="shared" si="15"/>
        <v>115</v>
      </c>
      <c r="N130" s="142">
        <v>20</v>
      </c>
      <c r="O130" s="138"/>
      <c r="P130" s="138">
        <v>59</v>
      </c>
      <c r="Q130" s="141">
        <v>80</v>
      </c>
      <c r="R130" s="140">
        <v>795</v>
      </c>
      <c r="S130" s="143">
        <v>1005</v>
      </c>
      <c r="T130" s="147">
        <v>168</v>
      </c>
      <c r="U130" s="151">
        <v>37</v>
      </c>
      <c r="V130" s="148">
        <f t="shared" si="16"/>
        <v>724</v>
      </c>
      <c r="W130" s="152">
        <f t="shared" si="17"/>
        <v>995</v>
      </c>
      <c r="X130" s="140">
        <v>16</v>
      </c>
      <c r="Y130" s="138">
        <v>16</v>
      </c>
      <c r="Z130" s="138">
        <v>60</v>
      </c>
      <c r="AA130" s="143">
        <v>60</v>
      </c>
    </row>
    <row r="131" spans="2:27" ht="15" customHeight="1">
      <c r="B131" s="97" t="s">
        <v>209</v>
      </c>
      <c r="C131" s="20">
        <v>1</v>
      </c>
      <c r="D131" s="20" t="s">
        <v>52</v>
      </c>
      <c r="E131" s="22">
        <v>111</v>
      </c>
      <c r="F131" s="140">
        <v>120</v>
      </c>
      <c r="G131" s="141">
        <v>214</v>
      </c>
      <c r="H131" s="140">
        <v>37</v>
      </c>
      <c r="I131" s="138">
        <v>75</v>
      </c>
      <c r="J131" s="138"/>
      <c r="K131" s="138">
        <v>1</v>
      </c>
      <c r="L131" s="71">
        <f t="shared" si="14"/>
        <v>37</v>
      </c>
      <c r="M131" s="88">
        <f t="shared" si="15"/>
        <v>76</v>
      </c>
      <c r="N131" s="142">
        <v>10</v>
      </c>
      <c r="O131" s="138"/>
      <c r="P131" s="138">
        <v>28</v>
      </c>
      <c r="Q131" s="141">
        <v>39</v>
      </c>
      <c r="R131" s="140">
        <v>499</v>
      </c>
      <c r="S131" s="143">
        <v>750</v>
      </c>
      <c r="T131" s="147">
        <v>91</v>
      </c>
      <c r="U131" s="151">
        <v>22</v>
      </c>
      <c r="V131" s="148">
        <f t="shared" si="16"/>
        <v>462</v>
      </c>
      <c r="W131" s="152">
        <f t="shared" si="17"/>
        <v>752</v>
      </c>
      <c r="X131" s="140">
        <v>9</v>
      </c>
      <c r="Y131" s="138">
        <v>9</v>
      </c>
      <c r="Z131" s="138">
        <v>38</v>
      </c>
      <c r="AA131" s="143">
        <v>38</v>
      </c>
    </row>
    <row r="132" spans="2:27" ht="15" customHeight="1">
      <c r="B132" s="97" t="s">
        <v>210</v>
      </c>
      <c r="C132" s="20">
        <v>1</v>
      </c>
      <c r="D132" s="20" t="s">
        <v>47</v>
      </c>
      <c r="E132" s="21">
        <v>112</v>
      </c>
      <c r="F132" s="140">
        <v>19</v>
      </c>
      <c r="G132" s="141">
        <v>37</v>
      </c>
      <c r="H132" s="140">
        <v>3</v>
      </c>
      <c r="I132" s="138">
        <v>7</v>
      </c>
      <c r="J132" s="138"/>
      <c r="K132" s="138"/>
      <c r="L132" s="71">
        <f t="shared" si="14"/>
        <v>3</v>
      </c>
      <c r="M132" s="88">
        <f t="shared" si="15"/>
        <v>7</v>
      </c>
      <c r="N132" s="142">
        <v>8</v>
      </c>
      <c r="O132" s="138"/>
      <c r="P132" s="138">
        <v>10</v>
      </c>
      <c r="Q132" s="141">
        <v>18</v>
      </c>
      <c r="R132" s="140">
        <v>110</v>
      </c>
      <c r="S132" s="143">
        <v>170</v>
      </c>
      <c r="T132" s="147">
        <v>30</v>
      </c>
      <c r="U132" s="151">
        <v>3</v>
      </c>
      <c r="V132" s="148">
        <f t="shared" si="16"/>
        <v>98</v>
      </c>
      <c r="W132" s="152">
        <f t="shared" si="17"/>
        <v>162</v>
      </c>
      <c r="X132" s="140">
        <v>1</v>
      </c>
      <c r="Y132" s="138">
        <v>1</v>
      </c>
      <c r="Z132" s="138">
        <v>7</v>
      </c>
      <c r="AA132" s="143">
        <v>7</v>
      </c>
    </row>
    <row r="133" spans="2:27" ht="15" customHeight="1">
      <c r="B133" s="97" t="s">
        <v>211</v>
      </c>
      <c r="C133" s="20"/>
      <c r="D133" s="20"/>
      <c r="E133" s="22">
        <v>113</v>
      </c>
      <c r="F133" s="140">
        <v>73</v>
      </c>
      <c r="G133" s="141">
        <v>125</v>
      </c>
      <c r="H133" s="140">
        <v>17</v>
      </c>
      <c r="I133" s="138">
        <v>38</v>
      </c>
      <c r="J133" s="138"/>
      <c r="K133" s="138">
        <v>2</v>
      </c>
      <c r="L133" s="71">
        <f t="shared" si="14"/>
        <v>17</v>
      </c>
      <c r="M133" s="88">
        <f t="shared" si="15"/>
        <v>40</v>
      </c>
      <c r="N133" s="142">
        <v>26</v>
      </c>
      <c r="O133" s="138"/>
      <c r="P133" s="138">
        <v>23</v>
      </c>
      <c r="Q133" s="141">
        <v>50</v>
      </c>
      <c r="R133" s="140">
        <v>334</v>
      </c>
      <c r="S133" s="143">
        <v>452</v>
      </c>
      <c r="T133" s="147">
        <v>85</v>
      </c>
      <c r="U133" s="151">
        <v>23</v>
      </c>
      <c r="V133" s="148">
        <f t="shared" si="16"/>
        <v>293</v>
      </c>
      <c r="W133" s="152">
        <f t="shared" si="17"/>
        <v>434</v>
      </c>
      <c r="X133" s="140">
        <v>5</v>
      </c>
      <c r="Y133" s="138">
        <v>6</v>
      </c>
      <c r="Z133" s="138">
        <v>17</v>
      </c>
      <c r="AA133" s="143">
        <v>17</v>
      </c>
    </row>
    <row r="134" spans="2:27" ht="15" customHeight="1">
      <c r="B134" s="97" t="s">
        <v>212</v>
      </c>
      <c r="C134" s="20">
        <v>1</v>
      </c>
      <c r="D134" s="20" t="s">
        <v>47</v>
      </c>
      <c r="E134" s="22">
        <v>114</v>
      </c>
      <c r="F134" s="140">
        <v>26</v>
      </c>
      <c r="G134" s="141">
        <v>39</v>
      </c>
      <c r="H134" s="140">
        <v>7</v>
      </c>
      <c r="I134" s="138">
        <v>12</v>
      </c>
      <c r="J134" s="138"/>
      <c r="K134" s="138"/>
      <c r="L134" s="71">
        <f t="shared" si="14"/>
        <v>7</v>
      </c>
      <c r="M134" s="88">
        <f t="shared" si="15"/>
        <v>12</v>
      </c>
      <c r="N134" s="142">
        <v>1</v>
      </c>
      <c r="O134" s="138"/>
      <c r="P134" s="138">
        <v>15</v>
      </c>
      <c r="Q134" s="141">
        <v>16</v>
      </c>
      <c r="R134" s="140">
        <v>119</v>
      </c>
      <c r="S134" s="143">
        <v>181</v>
      </c>
      <c r="T134" s="147">
        <v>23</v>
      </c>
      <c r="U134" s="151">
        <v>6</v>
      </c>
      <c r="V134" s="148">
        <f t="shared" si="16"/>
        <v>113</v>
      </c>
      <c r="W134" s="152">
        <f t="shared" si="17"/>
        <v>180</v>
      </c>
      <c r="X134" s="140">
        <v>2</v>
      </c>
      <c r="Y134" s="138">
        <v>2</v>
      </c>
      <c r="Z134" s="138">
        <v>7</v>
      </c>
      <c r="AA134" s="143">
        <v>7</v>
      </c>
    </row>
    <row r="135" spans="2:27" ht="15" customHeight="1">
      <c r="B135" s="97" t="s">
        <v>213</v>
      </c>
      <c r="C135" s="20"/>
      <c r="D135" s="20"/>
      <c r="E135" s="21">
        <v>115</v>
      </c>
      <c r="F135" s="140">
        <v>21</v>
      </c>
      <c r="G135" s="141">
        <v>39</v>
      </c>
      <c r="H135" s="140">
        <v>8</v>
      </c>
      <c r="I135" s="138">
        <v>12</v>
      </c>
      <c r="J135" s="138"/>
      <c r="K135" s="138"/>
      <c r="L135" s="71">
        <f t="shared" si="14"/>
        <v>8</v>
      </c>
      <c r="M135" s="88">
        <f t="shared" si="15"/>
        <v>12</v>
      </c>
      <c r="N135" s="142">
        <v>5</v>
      </c>
      <c r="O135" s="138"/>
      <c r="P135" s="138">
        <v>10</v>
      </c>
      <c r="Q135" s="141">
        <v>15</v>
      </c>
      <c r="R135" s="140">
        <v>353</v>
      </c>
      <c r="S135" s="143">
        <v>420</v>
      </c>
      <c r="T135" s="147">
        <v>99</v>
      </c>
      <c r="U135" s="151">
        <v>11</v>
      </c>
      <c r="V135" s="148">
        <f t="shared" si="16"/>
        <v>266</v>
      </c>
      <c r="W135" s="152">
        <f t="shared" si="17"/>
        <v>337</v>
      </c>
      <c r="X135" s="140">
        <v>2</v>
      </c>
      <c r="Y135" s="138">
        <v>2</v>
      </c>
      <c r="Z135" s="138">
        <v>9</v>
      </c>
      <c r="AA135" s="143">
        <v>9</v>
      </c>
    </row>
    <row r="136" spans="2:27" ht="15" customHeight="1">
      <c r="B136" s="97" t="s">
        <v>214</v>
      </c>
      <c r="C136" s="20">
        <v>1</v>
      </c>
      <c r="D136" s="20" t="s">
        <v>47</v>
      </c>
      <c r="E136" s="22">
        <v>116</v>
      </c>
      <c r="F136" s="140">
        <v>277</v>
      </c>
      <c r="G136" s="141">
        <v>552</v>
      </c>
      <c r="H136" s="140">
        <v>77</v>
      </c>
      <c r="I136" s="138">
        <v>174</v>
      </c>
      <c r="J136" s="138">
        <v>7</v>
      </c>
      <c r="K136" s="138">
        <v>28</v>
      </c>
      <c r="L136" s="71">
        <f t="shared" si="14"/>
        <v>84</v>
      </c>
      <c r="M136" s="88">
        <f t="shared" si="15"/>
        <v>202</v>
      </c>
      <c r="N136" s="142">
        <v>31</v>
      </c>
      <c r="O136" s="138"/>
      <c r="P136" s="138">
        <v>54</v>
      </c>
      <c r="Q136" s="141">
        <v>85</v>
      </c>
      <c r="R136" s="140">
        <v>1009</v>
      </c>
      <c r="S136" s="143">
        <v>1393</v>
      </c>
      <c r="T136" s="147">
        <v>309</v>
      </c>
      <c r="U136" s="151">
        <v>30</v>
      </c>
      <c r="V136" s="148">
        <f t="shared" si="16"/>
        <v>839</v>
      </c>
      <c r="W136" s="152">
        <f t="shared" si="17"/>
        <v>1341</v>
      </c>
      <c r="X136" s="140">
        <v>8</v>
      </c>
      <c r="Y136" s="138">
        <v>9</v>
      </c>
      <c r="Z136" s="138">
        <v>54</v>
      </c>
      <c r="AA136" s="143">
        <v>54</v>
      </c>
    </row>
    <row r="137" spans="2:27" ht="15" customHeight="1">
      <c r="B137" s="97" t="s">
        <v>215</v>
      </c>
      <c r="C137" s="20"/>
      <c r="D137" s="20"/>
      <c r="E137" s="22">
        <v>117</v>
      </c>
      <c r="F137" s="140">
        <v>6</v>
      </c>
      <c r="G137" s="141">
        <v>12</v>
      </c>
      <c r="H137" s="140">
        <v>1</v>
      </c>
      <c r="I137" s="138">
        <v>1</v>
      </c>
      <c r="J137" s="138"/>
      <c r="K137" s="138">
        <v>1</v>
      </c>
      <c r="L137" s="71">
        <f t="shared" si="14"/>
        <v>1</v>
      </c>
      <c r="M137" s="88">
        <f t="shared" si="15"/>
        <v>2</v>
      </c>
      <c r="N137" s="142">
        <v>1</v>
      </c>
      <c r="O137" s="138"/>
      <c r="P137" s="138">
        <v>3</v>
      </c>
      <c r="Q137" s="141">
        <v>5</v>
      </c>
      <c r="R137" s="140">
        <v>53</v>
      </c>
      <c r="S137" s="143">
        <v>75</v>
      </c>
      <c r="T137" s="147">
        <v>9</v>
      </c>
      <c r="U137" s="151">
        <v>1</v>
      </c>
      <c r="V137" s="148">
        <f t="shared" si="16"/>
        <v>49</v>
      </c>
      <c r="W137" s="152">
        <f t="shared" si="17"/>
        <v>72</v>
      </c>
      <c r="X137" s="140">
        <v>1</v>
      </c>
      <c r="Y137" s="138">
        <v>3</v>
      </c>
      <c r="Z137" s="138">
        <v>3</v>
      </c>
      <c r="AA137" s="143">
        <v>3</v>
      </c>
    </row>
    <row r="138" spans="2:27" ht="15" customHeight="1">
      <c r="B138" s="97" t="s">
        <v>216</v>
      </c>
      <c r="C138" s="20"/>
      <c r="D138" s="20"/>
      <c r="E138" s="21">
        <v>118</v>
      </c>
      <c r="F138" s="140">
        <v>32</v>
      </c>
      <c r="G138" s="141">
        <v>44</v>
      </c>
      <c r="H138" s="140">
        <v>7</v>
      </c>
      <c r="I138" s="138">
        <v>15</v>
      </c>
      <c r="J138" s="138"/>
      <c r="K138" s="138"/>
      <c r="L138" s="71">
        <f t="shared" si="14"/>
        <v>7</v>
      </c>
      <c r="M138" s="88">
        <f t="shared" si="15"/>
        <v>15</v>
      </c>
      <c r="N138" s="142">
        <v>6</v>
      </c>
      <c r="O138" s="138"/>
      <c r="P138" s="138">
        <v>7</v>
      </c>
      <c r="Q138" s="141">
        <v>14</v>
      </c>
      <c r="R138" s="140">
        <v>378</v>
      </c>
      <c r="S138" s="143">
        <v>432</v>
      </c>
      <c r="T138" s="147">
        <v>113</v>
      </c>
      <c r="U138" s="151">
        <v>23</v>
      </c>
      <c r="V138" s="148">
        <f t="shared" si="16"/>
        <v>263</v>
      </c>
      <c r="W138" s="152">
        <f t="shared" si="17"/>
        <v>325</v>
      </c>
      <c r="X138" s="140">
        <v>2</v>
      </c>
      <c r="Y138" s="138">
        <v>2</v>
      </c>
      <c r="Z138" s="138">
        <v>8</v>
      </c>
      <c r="AA138" s="143">
        <v>8</v>
      </c>
    </row>
    <row r="139" spans="2:27" ht="15" customHeight="1">
      <c r="B139" s="97" t="s">
        <v>217</v>
      </c>
      <c r="C139" s="20"/>
      <c r="D139" s="20"/>
      <c r="E139" s="22">
        <v>119</v>
      </c>
      <c r="F139" s="140">
        <v>89</v>
      </c>
      <c r="G139" s="141">
        <v>136</v>
      </c>
      <c r="H139" s="140">
        <v>22</v>
      </c>
      <c r="I139" s="138">
        <v>44</v>
      </c>
      <c r="J139" s="138">
        <v>3</v>
      </c>
      <c r="K139" s="138">
        <v>11</v>
      </c>
      <c r="L139" s="71">
        <f t="shared" si="14"/>
        <v>25</v>
      </c>
      <c r="M139" s="88">
        <f t="shared" si="15"/>
        <v>55</v>
      </c>
      <c r="N139" s="142">
        <v>20</v>
      </c>
      <c r="O139" s="138">
        <v>1</v>
      </c>
      <c r="P139" s="138">
        <v>30</v>
      </c>
      <c r="Q139" s="141">
        <v>52</v>
      </c>
      <c r="R139" s="140">
        <v>883</v>
      </c>
      <c r="S139" s="143">
        <v>998</v>
      </c>
      <c r="T139" s="147">
        <v>214</v>
      </c>
      <c r="U139" s="151">
        <v>62</v>
      </c>
      <c r="V139" s="148">
        <f t="shared" si="16"/>
        <v>684</v>
      </c>
      <c r="W139" s="152">
        <f t="shared" si="17"/>
        <v>829</v>
      </c>
      <c r="X139" s="140">
        <v>7</v>
      </c>
      <c r="Y139" s="138">
        <v>7</v>
      </c>
      <c r="Z139" s="138">
        <v>30</v>
      </c>
      <c r="AA139" s="143">
        <v>30</v>
      </c>
    </row>
    <row r="140" spans="2:27" ht="15" customHeight="1">
      <c r="B140" s="97" t="s">
        <v>218</v>
      </c>
      <c r="C140" s="20">
        <v>1</v>
      </c>
      <c r="D140" s="20" t="s">
        <v>52</v>
      </c>
      <c r="E140" s="22">
        <v>120</v>
      </c>
      <c r="F140" s="140">
        <v>3</v>
      </c>
      <c r="G140" s="141">
        <v>3</v>
      </c>
      <c r="H140" s="140"/>
      <c r="I140" s="138"/>
      <c r="J140" s="138"/>
      <c r="K140" s="138"/>
      <c r="L140" s="71">
        <f t="shared" si="14"/>
        <v>0</v>
      </c>
      <c r="M140" s="88">
        <f t="shared" si="15"/>
        <v>0</v>
      </c>
      <c r="N140" s="142">
        <v>1</v>
      </c>
      <c r="O140" s="138"/>
      <c r="P140" s="138">
        <v>6</v>
      </c>
      <c r="Q140" s="141">
        <v>8</v>
      </c>
      <c r="R140" s="140">
        <v>20</v>
      </c>
      <c r="S140" s="143">
        <v>31</v>
      </c>
      <c r="T140" s="147">
        <v>5</v>
      </c>
      <c r="U140" s="151">
        <v>3</v>
      </c>
      <c r="V140" s="148">
        <f t="shared" si="16"/>
        <v>20</v>
      </c>
      <c r="W140" s="152">
        <f t="shared" si="17"/>
        <v>31</v>
      </c>
      <c r="X140" s="140"/>
      <c r="Y140" s="138"/>
      <c r="Z140" s="138">
        <v>2</v>
      </c>
      <c r="AA140" s="143">
        <v>2</v>
      </c>
    </row>
    <row r="141" spans="2:27" ht="15" customHeight="1">
      <c r="B141" s="97" t="s">
        <v>219</v>
      </c>
      <c r="C141" s="20">
        <v>1</v>
      </c>
      <c r="D141" s="20" t="s">
        <v>47</v>
      </c>
      <c r="E141" s="21">
        <v>121</v>
      </c>
      <c r="F141" s="140">
        <v>14</v>
      </c>
      <c r="G141" s="141">
        <v>31</v>
      </c>
      <c r="H141" s="140">
        <v>2</v>
      </c>
      <c r="I141" s="138">
        <v>4</v>
      </c>
      <c r="J141" s="138">
        <v>1</v>
      </c>
      <c r="K141" s="138">
        <v>6</v>
      </c>
      <c r="L141" s="71">
        <f t="shared" si="14"/>
        <v>3</v>
      </c>
      <c r="M141" s="88">
        <f t="shared" si="15"/>
        <v>10</v>
      </c>
      <c r="N141" s="142">
        <v>1</v>
      </c>
      <c r="O141" s="138"/>
      <c r="P141" s="138">
        <v>7</v>
      </c>
      <c r="Q141" s="141">
        <v>8</v>
      </c>
      <c r="R141" s="140">
        <v>70</v>
      </c>
      <c r="S141" s="143">
        <v>113</v>
      </c>
      <c r="T141" s="147">
        <v>16</v>
      </c>
      <c r="U141" s="151">
        <v>2</v>
      </c>
      <c r="V141" s="148">
        <f t="shared" si="16"/>
        <v>63</v>
      </c>
      <c r="W141" s="152">
        <f t="shared" si="17"/>
        <v>113</v>
      </c>
      <c r="X141" s="140"/>
      <c r="Y141" s="138"/>
      <c r="Z141" s="138">
        <v>4</v>
      </c>
      <c r="AA141" s="143">
        <v>4</v>
      </c>
    </row>
    <row r="142" spans="2:27" ht="15" customHeight="1">
      <c r="B142" s="97" t="s">
        <v>220</v>
      </c>
      <c r="C142" s="20">
        <v>1</v>
      </c>
      <c r="D142" s="20" t="s">
        <v>52</v>
      </c>
      <c r="E142" s="22">
        <v>122</v>
      </c>
      <c r="F142" s="140">
        <v>14</v>
      </c>
      <c r="G142" s="141">
        <v>22</v>
      </c>
      <c r="H142" s="140">
        <v>3</v>
      </c>
      <c r="I142" s="138">
        <v>7</v>
      </c>
      <c r="J142" s="138"/>
      <c r="K142" s="138"/>
      <c r="L142" s="71">
        <f t="shared" si="14"/>
        <v>3</v>
      </c>
      <c r="M142" s="88">
        <f t="shared" si="15"/>
        <v>7</v>
      </c>
      <c r="N142" s="142">
        <v>6</v>
      </c>
      <c r="O142" s="138"/>
      <c r="P142" s="138">
        <v>3</v>
      </c>
      <c r="Q142" s="141">
        <v>9</v>
      </c>
      <c r="R142" s="140">
        <v>154</v>
      </c>
      <c r="S142" s="143">
        <v>202</v>
      </c>
      <c r="T142" s="147">
        <v>28</v>
      </c>
      <c r="U142" s="151">
        <v>17</v>
      </c>
      <c r="V142" s="148">
        <f t="shared" si="16"/>
        <v>121</v>
      </c>
      <c r="W142" s="152">
        <f t="shared" si="17"/>
        <v>173</v>
      </c>
      <c r="X142" s="140"/>
      <c r="Y142" s="138"/>
      <c r="Z142" s="138">
        <v>4</v>
      </c>
      <c r="AA142" s="143">
        <v>4</v>
      </c>
    </row>
    <row r="143" spans="2:27" ht="15" customHeight="1">
      <c r="B143" s="97" t="s">
        <v>221</v>
      </c>
      <c r="C143" s="20">
        <v>1</v>
      </c>
      <c r="D143" s="20" t="s">
        <v>47</v>
      </c>
      <c r="E143" s="22">
        <v>123</v>
      </c>
      <c r="F143" s="140">
        <v>5</v>
      </c>
      <c r="G143" s="141">
        <v>7</v>
      </c>
      <c r="H143" s="140">
        <v>1</v>
      </c>
      <c r="I143" s="138">
        <v>1</v>
      </c>
      <c r="J143" s="138"/>
      <c r="K143" s="138"/>
      <c r="L143" s="71">
        <f t="shared" si="14"/>
        <v>1</v>
      </c>
      <c r="M143" s="88">
        <f t="shared" si="15"/>
        <v>1</v>
      </c>
      <c r="N143" s="142"/>
      <c r="O143" s="138"/>
      <c r="P143" s="138">
        <v>2</v>
      </c>
      <c r="Q143" s="141">
        <v>2</v>
      </c>
      <c r="R143" s="140">
        <v>31</v>
      </c>
      <c r="S143" s="143">
        <v>48</v>
      </c>
      <c r="T143" s="147">
        <v>1</v>
      </c>
      <c r="U143" s="151">
        <v>1</v>
      </c>
      <c r="V143" s="148">
        <f t="shared" si="16"/>
        <v>32</v>
      </c>
      <c r="W143" s="152">
        <f t="shared" si="17"/>
        <v>49</v>
      </c>
      <c r="X143" s="140"/>
      <c r="Y143" s="138"/>
      <c r="Z143" s="138">
        <v>3</v>
      </c>
      <c r="AA143" s="143">
        <v>3</v>
      </c>
    </row>
    <row r="144" spans="2:27" ht="15" customHeight="1">
      <c r="B144" s="97" t="s">
        <v>222</v>
      </c>
      <c r="C144" s="20"/>
      <c r="D144" s="20"/>
      <c r="E144" s="21">
        <v>124</v>
      </c>
      <c r="F144" s="140">
        <v>177</v>
      </c>
      <c r="G144" s="141">
        <v>324</v>
      </c>
      <c r="H144" s="140">
        <v>50</v>
      </c>
      <c r="I144" s="138">
        <v>114</v>
      </c>
      <c r="J144" s="138">
        <v>1</v>
      </c>
      <c r="K144" s="138">
        <v>5</v>
      </c>
      <c r="L144" s="71">
        <f t="shared" si="14"/>
        <v>51</v>
      </c>
      <c r="M144" s="88">
        <f t="shared" si="15"/>
        <v>119</v>
      </c>
      <c r="N144" s="142">
        <v>3</v>
      </c>
      <c r="O144" s="138"/>
      <c r="P144" s="138">
        <v>40</v>
      </c>
      <c r="Q144" s="141">
        <v>43</v>
      </c>
      <c r="R144" s="140">
        <v>601</v>
      </c>
      <c r="S144" s="143">
        <v>837</v>
      </c>
      <c r="T144" s="147">
        <v>109</v>
      </c>
      <c r="U144" s="151">
        <v>19</v>
      </c>
      <c r="V144" s="148">
        <f t="shared" si="16"/>
        <v>567</v>
      </c>
      <c r="W144" s="152">
        <f t="shared" si="17"/>
        <v>871</v>
      </c>
      <c r="X144" s="140">
        <v>14</v>
      </c>
      <c r="Y144" s="138">
        <v>14</v>
      </c>
      <c r="Z144" s="138">
        <v>38</v>
      </c>
      <c r="AA144" s="143">
        <v>38</v>
      </c>
    </row>
    <row r="145" spans="2:27" ht="15" customHeight="1">
      <c r="B145" s="97" t="s">
        <v>223</v>
      </c>
      <c r="C145" s="20">
        <v>1</v>
      </c>
      <c r="D145" s="20" t="s">
        <v>52</v>
      </c>
      <c r="E145" s="22">
        <v>125</v>
      </c>
      <c r="F145" s="140">
        <v>8</v>
      </c>
      <c r="G145" s="141">
        <v>12</v>
      </c>
      <c r="H145" s="140">
        <v>1</v>
      </c>
      <c r="I145" s="138">
        <v>2</v>
      </c>
      <c r="J145" s="138">
        <v>1</v>
      </c>
      <c r="K145" s="138">
        <v>1</v>
      </c>
      <c r="L145" s="71">
        <f t="shared" si="14"/>
        <v>2</v>
      </c>
      <c r="M145" s="88">
        <f t="shared" si="15"/>
        <v>3</v>
      </c>
      <c r="N145" s="142">
        <v>1</v>
      </c>
      <c r="O145" s="138"/>
      <c r="P145" s="138"/>
      <c r="Q145" s="141">
        <v>2</v>
      </c>
      <c r="R145" s="140">
        <v>111</v>
      </c>
      <c r="S145" s="143">
        <v>140</v>
      </c>
      <c r="T145" s="147">
        <v>23</v>
      </c>
      <c r="U145" s="151">
        <v>9</v>
      </c>
      <c r="V145" s="148">
        <f t="shared" si="16"/>
        <v>83</v>
      </c>
      <c r="W145" s="152">
        <f t="shared" si="17"/>
        <v>113</v>
      </c>
      <c r="X145" s="140"/>
      <c r="Y145" s="138"/>
      <c r="Z145" s="138">
        <v>49</v>
      </c>
      <c r="AA145" s="143">
        <v>49</v>
      </c>
    </row>
    <row r="146" spans="2:27" ht="15" customHeight="1">
      <c r="B146" s="97" t="s">
        <v>224</v>
      </c>
      <c r="C146" s="20"/>
      <c r="D146" s="20"/>
      <c r="E146" s="22">
        <v>126</v>
      </c>
      <c r="F146" s="140">
        <v>243</v>
      </c>
      <c r="G146" s="141">
        <v>410</v>
      </c>
      <c r="H146" s="140">
        <v>62</v>
      </c>
      <c r="I146" s="138">
        <v>132</v>
      </c>
      <c r="J146" s="138">
        <v>1</v>
      </c>
      <c r="K146" s="138">
        <v>5</v>
      </c>
      <c r="L146" s="71">
        <f t="shared" si="14"/>
        <v>63</v>
      </c>
      <c r="M146" s="88">
        <f t="shared" si="15"/>
        <v>137</v>
      </c>
      <c r="N146" s="142">
        <v>50</v>
      </c>
      <c r="O146" s="138">
        <v>1</v>
      </c>
      <c r="P146" s="138">
        <v>64</v>
      </c>
      <c r="Q146" s="141">
        <v>115</v>
      </c>
      <c r="R146" s="140">
        <v>1330</v>
      </c>
      <c r="S146" s="143">
        <v>1686</v>
      </c>
      <c r="T146" s="147">
        <v>300</v>
      </c>
      <c r="U146" s="151">
        <v>36</v>
      </c>
      <c r="V146" s="148">
        <f t="shared" si="16"/>
        <v>1172</v>
      </c>
      <c r="W146" s="152">
        <f t="shared" si="17"/>
        <v>1602</v>
      </c>
      <c r="X146" s="140">
        <v>16</v>
      </c>
      <c r="Y146" s="138">
        <v>16</v>
      </c>
      <c r="Z146" s="138">
        <v>64</v>
      </c>
      <c r="AA146" s="143">
        <v>64</v>
      </c>
    </row>
    <row r="147" spans="2:27" ht="15" customHeight="1">
      <c r="B147" s="97" t="s">
        <v>225</v>
      </c>
      <c r="C147" s="20">
        <v>1</v>
      </c>
      <c r="D147" s="20" t="s">
        <v>52</v>
      </c>
      <c r="E147" s="21">
        <v>127</v>
      </c>
      <c r="F147" s="140">
        <v>7</v>
      </c>
      <c r="G147" s="141">
        <v>21</v>
      </c>
      <c r="H147" s="140">
        <v>1</v>
      </c>
      <c r="I147" s="138">
        <v>6</v>
      </c>
      <c r="J147" s="138">
        <v>1</v>
      </c>
      <c r="K147" s="138">
        <v>5</v>
      </c>
      <c r="L147" s="71">
        <f t="shared" si="14"/>
        <v>2</v>
      </c>
      <c r="M147" s="88">
        <f t="shared" si="15"/>
        <v>11</v>
      </c>
      <c r="N147" s="142"/>
      <c r="O147" s="138"/>
      <c r="P147" s="138">
        <v>1</v>
      </c>
      <c r="Q147" s="141">
        <v>1</v>
      </c>
      <c r="R147" s="140">
        <v>38</v>
      </c>
      <c r="S147" s="143">
        <v>69</v>
      </c>
      <c r="T147" s="147">
        <v>3</v>
      </c>
      <c r="U147" s="151">
        <v>2</v>
      </c>
      <c r="V147" s="148">
        <f t="shared" si="16"/>
        <v>36</v>
      </c>
      <c r="W147" s="152">
        <f t="shared" si="17"/>
        <v>76</v>
      </c>
      <c r="X147" s="140">
        <v>1</v>
      </c>
      <c r="Y147" s="138">
        <v>1</v>
      </c>
      <c r="Z147" s="138">
        <v>4</v>
      </c>
      <c r="AA147" s="143">
        <v>4</v>
      </c>
    </row>
    <row r="148" spans="2:27" ht="15" customHeight="1">
      <c r="B148" s="97" t="s">
        <v>226</v>
      </c>
      <c r="C148" s="20"/>
      <c r="D148" s="20"/>
      <c r="E148" s="22">
        <v>128</v>
      </c>
      <c r="F148" s="140">
        <v>49</v>
      </c>
      <c r="G148" s="141">
        <v>72</v>
      </c>
      <c r="H148" s="140">
        <v>8</v>
      </c>
      <c r="I148" s="138">
        <v>15</v>
      </c>
      <c r="J148" s="138"/>
      <c r="K148" s="138"/>
      <c r="L148" s="71">
        <f t="shared" si="14"/>
        <v>8</v>
      </c>
      <c r="M148" s="88">
        <f t="shared" si="15"/>
        <v>15</v>
      </c>
      <c r="N148" s="142">
        <v>14</v>
      </c>
      <c r="O148" s="138"/>
      <c r="P148" s="138">
        <v>21</v>
      </c>
      <c r="Q148" s="141">
        <v>36</v>
      </c>
      <c r="R148" s="140">
        <v>429</v>
      </c>
      <c r="S148" s="143">
        <v>502</v>
      </c>
      <c r="T148" s="147">
        <v>109</v>
      </c>
      <c r="U148" s="151">
        <v>20</v>
      </c>
      <c r="V148" s="148">
        <f t="shared" si="16"/>
        <v>344</v>
      </c>
      <c r="W148" s="152">
        <f t="shared" si="17"/>
        <v>424</v>
      </c>
      <c r="X148" s="140">
        <v>3</v>
      </c>
      <c r="Y148" s="138">
        <v>3</v>
      </c>
      <c r="Z148" s="138">
        <v>13</v>
      </c>
      <c r="AA148" s="143">
        <v>13</v>
      </c>
    </row>
    <row r="149" spans="2:27" ht="15" customHeight="1">
      <c r="B149" s="97" t="s">
        <v>227</v>
      </c>
      <c r="C149" s="20"/>
      <c r="D149" s="20"/>
      <c r="E149" s="22">
        <v>129</v>
      </c>
      <c r="F149" s="140">
        <v>27</v>
      </c>
      <c r="G149" s="141">
        <v>46</v>
      </c>
      <c r="H149" s="140">
        <v>10</v>
      </c>
      <c r="I149" s="138">
        <v>21</v>
      </c>
      <c r="J149" s="138"/>
      <c r="K149" s="138"/>
      <c r="L149" s="71">
        <f aca="true" t="shared" si="18" ref="L149:L180">SUM(H149,J149)</f>
        <v>10</v>
      </c>
      <c r="M149" s="88">
        <f aca="true" t="shared" si="19" ref="M149:M180">SUM(I149,K149)</f>
        <v>21</v>
      </c>
      <c r="N149" s="142">
        <v>2</v>
      </c>
      <c r="O149" s="138">
        <v>1</v>
      </c>
      <c r="P149" s="138">
        <v>9</v>
      </c>
      <c r="Q149" s="141">
        <v>13</v>
      </c>
      <c r="R149" s="140">
        <v>167</v>
      </c>
      <c r="S149" s="143">
        <v>230</v>
      </c>
      <c r="T149" s="147">
        <v>38</v>
      </c>
      <c r="U149" s="151">
        <v>7</v>
      </c>
      <c r="V149" s="148">
        <f t="shared" si="16"/>
        <v>145</v>
      </c>
      <c r="W149" s="152">
        <f t="shared" si="17"/>
        <v>219</v>
      </c>
      <c r="X149" s="140">
        <v>1</v>
      </c>
      <c r="Y149" s="138">
        <v>1</v>
      </c>
      <c r="Z149" s="138">
        <v>6</v>
      </c>
      <c r="AA149" s="143">
        <v>6</v>
      </c>
    </row>
    <row r="150" spans="2:27" ht="15" customHeight="1">
      <c r="B150" s="97" t="s">
        <v>228</v>
      </c>
      <c r="C150" s="20"/>
      <c r="D150" s="20"/>
      <c r="E150" s="22">
        <v>132</v>
      </c>
      <c r="F150" s="140">
        <v>81</v>
      </c>
      <c r="G150" s="141">
        <v>141</v>
      </c>
      <c r="H150" s="140">
        <v>28</v>
      </c>
      <c r="I150" s="138">
        <v>57</v>
      </c>
      <c r="J150" s="138">
        <v>1</v>
      </c>
      <c r="K150" s="138">
        <v>5</v>
      </c>
      <c r="L150" s="71">
        <f t="shared" si="18"/>
        <v>29</v>
      </c>
      <c r="M150" s="88">
        <f t="shared" si="19"/>
        <v>62</v>
      </c>
      <c r="N150" s="142">
        <v>18</v>
      </c>
      <c r="O150" s="138">
        <v>1</v>
      </c>
      <c r="P150" s="138">
        <v>24</v>
      </c>
      <c r="Q150" s="141">
        <v>44</v>
      </c>
      <c r="R150" s="140">
        <v>518</v>
      </c>
      <c r="S150" s="143">
        <v>650</v>
      </c>
      <c r="T150" s="147">
        <v>114</v>
      </c>
      <c r="U150" s="151">
        <v>31</v>
      </c>
      <c r="V150" s="148">
        <f t="shared" si="16"/>
        <v>446</v>
      </c>
      <c r="W150" s="152">
        <f t="shared" si="17"/>
        <v>611</v>
      </c>
      <c r="X150" s="140">
        <v>8</v>
      </c>
      <c r="Y150" s="138">
        <v>8</v>
      </c>
      <c r="Z150" s="138">
        <v>33</v>
      </c>
      <c r="AA150" s="143">
        <v>33</v>
      </c>
    </row>
    <row r="151" spans="2:27" ht="15" customHeight="1">
      <c r="B151" s="97" t="s">
        <v>229</v>
      </c>
      <c r="C151" s="20"/>
      <c r="D151" s="20"/>
      <c r="E151" s="21">
        <v>130</v>
      </c>
      <c r="F151" s="140">
        <v>38</v>
      </c>
      <c r="G151" s="141">
        <v>66</v>
      </c>
      <c r="H151" s="140">
        <v>14</v>
      </c>
      <c r="I151" s="138">
        <v>24</v>
      </c>
      <c r="J151" s="138"/>
      <c r="K151" s="138">
        <v>2</v>
      </c>
      <c r="L151" s="71">
        <f t="shared" si="18"/>
        <v>14</v>
      </c>
      <c r="M151" s="88">
        <f t="shared" si="19"/>
        <v>26</v>
      </c>
      <c r="N151" s="142">
        <v>14</v>
      </c>
      <c r="O151" s="138">
        <v>1</v>
      </c>
      <c r="P151" s="138">
        <v>33</v>
      </c>
      <c r="Q151" s="141">
        <v>48</v>
      </c>
      <c r="R151" s="140">
        <v>1632</v>
      </c>
      <c r="S151" s="143">
        <v>1706</v>
      </c>
      <c r="T151" s="147">
        <v>672</v>
      </c>
      <c r="U151" s="151">
        <v>26</v>
      </c>
      <c r="V151" s="148">
        <f t="shared" si="16"/>
        <v>996</v>
      </c>
      <c r="W151" s="152">
        <f t="shared" si="17"/>
        <v>1082</v>
      </c>
      <c r="X151" s="140">
        <v>6</v>
      </c>
      <c r="Y151" s="138">
        <v>6</v>
      </c>
      <c r="Z151" s="138">
        <v>20</v>
      </c>
      <c r="AA151" s="143">
        <v>20</v>
      </c>
    </row>
    <row r="152" spans="2:27" ht="15" customHeight="1">
      <c r="B152" s="97" t="s">
        <v>230</v>
      </c>
      <c r="C152" s="20"/>
      <c r="D152" s="20"/>
      <c r="E152" s="22">
        <v>131</v>
      </c>
      <c r="F152" s="140">
        <v>291</v>
      </c>
      <c r="G152" s="141">
        <v>505</v>
      </c>
      <c r="H152" s="140">
        <v>74</v>
      </c>
      <c r="I152" s="138">
        <v>157</v>
      </c>
      <c r="J152" s="138">
        <v>4</v>
      </c>
      <c r="K152" s="138">
        <v>14</v>
      </c>
      <c r="L152" s="71">
        <f t="shared" si="18"/>
        <v>78</v>
      </c>
      <c r="M152" s="88">
        <f t="shared" si="19"/>
        <v>171</v>
      </c>
      <c r="N152" s="142">
        <v>20</v>
      </c>
      <c r="O152" s="138">
        <v>1</v>
      </c>
      <c r="P152" s="138">
        <v>63</v>
      </c>
      <c r="Q152" s="141">
        <v>86</v>
      </c>
      <c r="R152" s="140">
        <v>1425</v>
      </c>
      <c r="S152" s="143">
        <v>1907</v>
      </c>
      <c r="T152" s="147">
        <v>333</v>
      </c>
      <c r="U152" s="151">
        <v>75</v>
      </c>
      <c r="V152" s="148">
        <f t="shared" si="16"/>
        <v>1181</v>
      </c>
      <c r="W152" s="152">
        <f t="shared" si="17"/>
        <v>1756</v>
      </c>
      <c r="X152" s="140">
        <v>13</v>
      </c>
      <c r="Y152" s="138">
        <v>13</v>
      </c>
      <c r="Z152" s="138">
        <v>82</v>
      </c>
      <c r="AA152" s="143">
        <v>82</v>
      </c>
    </row>
    <row r="153" spans="2:27" ht="15" customHeight="1">
      <c r="B153" s="97" t="s">
        <v>231</v>
      </c>
      <c r="C153" s="20">
        <v>1</v>
      </c>
      <c r="D153" s="20" t="s">
        <v>47</v>
      </c>
      <c r="E153" s="21">
        <v>133</v>
      </c>
      <c r="F153" s="140">
        <v>47</v>
      </c>
      <c r="G153" s="141">
        <v>107</v>
      </c>
      <c r="H153" s="140">
        <v>18</v>
      </c>
      <c r="I153" s="138">
        <v>40</v>
      </c>
      <c r="J153" s="138">
        <v>4</v>
      </c>
      <c r="K153" s="138">
        <v>14</v>
      </c>
      <c r="L153" s="71">
        <f t="shared" si="18"/>
        <v>22</v>
      </c>
      <c r="M153" s="88">
        <f t="shared" si="19"/>
        <v>54</v>
      </c>
      <c r="N153" s="142">
        <v>6</v>
      </c>
      <c r="O153" s="138"/>
      <c r="P153" s="138">
        <v>15</v>
      </c>
      <c r="Q153" s="141">
        <v>21</v>
      </c>
      <c r="R153" s="140">
        <v>176</v>
      </c>
      <c r="S153" s="143">
        <v>258</v>
      </c>
      <c r="T153" s="147">
        <v>37</v>
      </c>
      <c r="U153" s="151">
        <v>4</v>
      </c>
      <c r="V153" s="148">
        <f aca="true" t="shared" si="20" ref="V153:V184">SUM(L153+Q153+R153-T153-U153)</f>
        <v>178</v>
      </c>
      <c r="W153" s="152">
        <f aca="true" t="shared" si="21" ref="W153:W184">SUM(M153+Q153+S153-T153-U153)</f>
        <v>292</v>
      </c>
      <c r="X153" s="140">
        <v>2</v>
      </c>
      <c r="Y153" s="138">
        <v>2</v>
      </c>
      <c r="Z153" s="138">
        <v>10</v>
      </c>
      <c r="AA153" s="143">
        <v>10</v>
      </c>
    </row>
    <row r="154" spans="2:27" ht="15" customHeight="1">
      <c r="B154" s="97" t="s">
        <v>232</v>
      </c>
      <c r="C154" s="20"/>
      <c r="D154" s="20"/>
      <c r="E154" s="22">
        <v>134</v>
      </c>
      <c r="F154" s="140">
        <v>131</v>
      </c>
      <c r="G154" s="141">
        <v>229</v>
      </c>
      <c r="H154" s="140">
        <v>37</v>
      </c>
      <c r="I154" s="138">
        <v>75</v>
      </c>
      <c r="J154" s="138">
        <v>2</v>
      </c>
      <c r="K154" s="138">
        <v>10</v>
      </c>
      <c r="L154" s="71">
        <f t="shared" si="18"/>
        <v>39</v>
      </c>
      <c r="M154" s="88">
        <f t="shared" si="19"/>
        <v>85</v>
      </c>
      <c r="N154" s="142">
        <v>6</v>
      </c>
      <c r="O154" s="138"/>
      <c r="P154" s="138">
        <v>31</v>
      </c>
      <c r="Q154" s="141">
        <v>38</v>
      </c>
      <c r="R154" s="140">
        <v>602</v>
      </c>
      <c r="S154" s="143">
        <v>844</v>
      </c>
      <c r="T154" s="147">
        <v>141</v>
      </c>
      <c r="U154" s="151">
        <v>25</v>
      </c>
      <c r="V154" s="148">
        <f t="shared" si="20"/>
        <v>513</v>
      </c>
      <c r="W154" s="152">
        <f t="shared" si="21"/>
        <v>801</v>
      </c>
      <c r="X154" s="140">
        <v>7</v>
      </c>
      <c r="Y154" s="138">
        <v>7</v>
      </c>
      <c r="Z154" s="138">
        <v>31</v>
      </c>
      <c r="AA154" s="143">
        <v>31</v>
      </c>
    </row>
    <row r="155" spans="2:27" ht="15" customHeight="1">
      <c r="B155" s="97" t="s">
        <v>233</v>
      </c>
      <c r="C155" s="20" t="s">
        <v>63</v>
      </c>
      <c r="D155" s="20"/>
      <c r="E155" s="22">
        <v>135</v>
      </c>
      <c r="F155" s="140">
        <v>1710</v>
      </c>
      <c r="G155" s="141">
        <v>2826</v>
      </c>
      <c r="H155" s="140">
        <v>482</v>
      </c>
      <c r="I155" s="138">
        <v>937</v>
      </c>
      <c r="J155" s="138">
        <v>11</v>
      </c>
      <c r="K155" s="138">
        <v>40</v>
      </c>
      <c r="L155" s="71">
        <f t="shared" si="18"/>
        <v>493</v>
      </c>
      <c r="M155" s="88">
        <f t="shared" si="19"/>
        <v>977</v>
      </c>
      <c r="N155" s="142">
        <v>395</v>
      </c>
      <c r="O155" s="138">
        <v>3</v>
      </c>
      <c r="P155" s="138">
        <v>361</v>
      </c>
      <c r="Q155" s="141">
        <v>760</v>
      </c>
      <c r="R155" s="140">
        <v>6143</v>
      </c>
      <c r="S155" s="143">
        <v>8395</v>
      </c>
      <c r="T155" s="147">
        <v>1335</v>
      </c>
      <c r="U155" s="151">
        <v>180</v>
      </c>
      <c r="V155" s="148">
        <f t="shared" si="20"/>
        <v>5881</v>
      </c>
      <c r="W155" s="152">
        <f t="shared" si="21"/>
        <v>8617</v>
      </c>
      <c r="X155" s="140">
        <v>134</v>
      </c>
      <c r="Y155" s="138">
        <v>135</v>
      </c>
      <c r="Z155" s="138">
        <v>447</v>
      </c>
      <c r="AA155" s="143">
        <v>447</v>
      </c>
    </row>
    <row r="156" spans="2:27" ht="15" customHeight="1">
      <c r="B156" s="97" t="s">
        <v>234</v>
      </c>
      <c r="C156" s="20">
        <v>1</v>
      </c>
      <c r="D156" s="20" t="s">
        <v>47</v>
      </c>
      <c r="E156" s="21">
        <v>136</v>
      </c>
      <c r="F156" s="140">
        <v>27</v>
      </c>
      <c r="G156" s="141">
        <v>46</v>
      </c>
      <c r="H156" s="140">
        <v>9</v>
      </c>
      <c r="I156" s="138">
        <v>15</v>
      </c>
      <c r="J156" s="138"/>
      <c r="K156" s="138">
        <v>1</v>
      </c>
      <c r="L156" s="71">
        <f t="shared" si="18"/>
        <v>9</v>
      </c>
      <c r="M156" s="88">
        <f t="shared" si="19"/>
        <v>16</v>
      </c>
      <c r="N156" s="142"/>
      <c r="O156" s="138"/>
      <c r="P156" s="138">
        <v>10</v>
      </c>
      <c r="Q156" s="141">
        <v>10</v>
      </c>
      <c r="R156" s="140">
        <v>127</v>
      </c>
      <c r="S156" s="143">
        <v>197</v>
      </c>
      <c r="T156" s="147">
        <v>17</v>
      </c>
      <c r="U156" s="151">
        <v>5</v>
      </c>
      <c r="V156" s="148">
        <f t="shared" si="20"/>
        <v>124</v>
      </c>
      <c r="W156" s="152">
        <f t="shared" si="21"/>
        <v>201</v>
      </c>
      <c r="X156" s="140">
        <v>1</v>
      </c>
      <c r="Y156" s="138">
        <v>1</v>
      </c>
      <c r="Z156" s="138">
        <v>7</v>
      </c>
      <c r="AA156" s="143">
        <v>7</v>
      </c>
    </row>
    <row r="157" spans="2:27" ht="15" customHeight="1">
      <c r="B157" s="97" t="s">
        <v>235</v>
      </c>
      <c r="C157" s="20"/>
      <c r="D157" s="20"/>
      <c r="E157" s="22">
        <v>137</v>
      </c>
      <c r="F157" s="140">
        <v>198</v>
      </c>
      <c r="G157" s="141">
        <v>337</v>
      </c>
      <c r="H157" s="140">
        <v>56</v>
      </c>
      <c r="I157" s="138">
        <v>117</v>
      </c>
      <c r="J157" s="138">
        <v>2</v>
      </c>
      <c r="K157" s="138">
        <v>9</v>
      </c>
      <c r="L157" s="71">
        <f t="shared" si="18"/>
        <v>58</v>
      </c>
      <c r="M157" s="88">
        <f t="shared" si="19"/>
        <v>126</v>
      </c>
      <c r="N157" s="142">
        <v>11</v>
      </c>
      <c r="O157" s="138"/>
      <c r="P157" s="138">
        <v>80</v>
      </c>
      <c r="Q157" s="141">
        <v>92</v>
      </c>
      <c r="R157" s="140">
        <v>999</v>
      </c>
      <c r="S157" s="143">
        <v>1318</v>
      </c>
      <c r="T157" s="147">
        <v>252</v>
      </c>
      <c r="U157" s="151">
        <v>50</v>
      </c>
      <c r="V157" s="148">
        <f t="shared" si="20"/>
        <v>847</v>
      </c>
      <c r="W157" s="152">
        <f t="shared" si="21"/>
        <v>1234</v>
      </c>
      <c r="X157" s="140">
        <v>16</v>
      </c>
      <c r="Y157" s="138">
        <v>18</v>
      </c>
      <c r="Z157" s="138">
        <v>53</v>
      </c>
      <c r="AA157" s="143">
        <v>54</v>
      </c>
    </row>
    <row r="158" spans="2:27" ht="15" customHeight="1">
      <c r="B158" s="97" t="s">
        <v>0</v>
      </c>
      <c r="C158" s="20"/>
      <c r="D158" s="20"/>
      <c r="E158" s="22">
        <v>138</v>
      </c>
      <c r="F158" s="140">
        <v>507</v>
      </c>
      <c r="G158" s="141">
        <v>932</v>
      </c>
      <c r="H158" s="140">
        <v>185</v>
      </c>
      <c r="I158" s="138">
        <v>352</v>
      </c>
      <c r="J158" s="138">
        <v>6</v>
      </c>
      <c r="K158" s="138">
        <v>24</v>
      </c>
      <c r="L158" s="71">
        <f t="shared" si="18"/>
        <v>191</v>
      </c>
      <c r="M158" s="88">
        <f t="shared" si="19"/>
        <v>376</v>
      </c>
      <c r="N158" s="142">
        <v>38</v>
      </c>
      <c r="O158" s="138"/>
      <c r="P158" s="138">
        <v>113</v>
      </c>
      <c r="Q158" s="141">
        <v>151</v>
      </c>
      <c r="R158" s="140">
        <v>2061</v>
      </c>
      <c r="S158" s="143">
        <v>3013</v>
      </c>
      <c r="T158" s="147">
        <v>389</v>
      </c>
      <c r="U158" s="151">
        <v>54</v>
      </c>
      <c r="V158" s="148">
        <f t="shared" si="20"/>
        <v>1960</v>
      </c>
      <c r="W158" s="152">
        <f t="shared" si="21"/>
        <v>3097</v>
      </c>
      <c r="X158" s="140">
        <v>41</v>
      </c>
      <c r="Y158" s="138">
        <v>49</v>
      </c>
      <c r="Z158" s="138">
        <v>142</v>
      </c>
      <c r="AA158" s="143">
        <v>142</v>
      </c>
    </row>
    <row r="159" spans="2:27" ht="15" customHeight="1">
      <c r="B159" s="97" t="s">
        <v>1</v>
      </c>
      <c r="C159" s="20"/>
      <c r="D159" s="20"/>
      <c r="E159" s="21">
        <v>139</v>
      </c>
      <c r="F159" s="140">
        <v>51</v>
      </c>
      <c r="G159" s="141">
        <v>78</v>
      </c>
      <c r="H159" s="140">
        <v>11</v>
      </c>
      <c r="I159" s="138">
        <v>20</v>
      </c>
      <c r="J159" s="138"/>
      <c r="K159" s="138"/>
      <c r="L159" s="71">
        <f t="shared" si="18"/>
        <v>11</v>
      </c>
      <c r="M159" s="88">
        <f t="shared" si="19"/>
        <v>20</v>
      </c>
      <c r="N159" s="142">
        <v>6</v>
      </c>
      <c r="O159" s="138"/>
      <c r="P159" s="138">
        <v>16</v>
      </c>
      <c r="Q159" s="141">
        <v>23</v>
      </c>
      <c r="R159" s="140">
        <v>309</v>
      </c>
      <c r="S159" s="143">
        <v>389</v>
      </c>
      <c r="T159" s="147">
        <v>67</v>
      </c>
      <c r="U159" s="151">
        <v>24</v>
      </c>
      <c r="V159" s="148">
        <f t="shared" si="20"/>
        <v>252</v>
      </c>
      <c r="W159" s="152">
        <f t="shared" si="21"/>
        <v>341</v>
      </c>
      <c r="X159" s="140">
        <v>2</v>
      </c>
      <c r="Y159" s="138">
        <v>2</v>
      </c>
      <c r="Z159" s="138">
        <v>11</v>
      </c>
      <c r="AA159" s="143">
        <v>11</v>
      </c>
    </row>
    <row r="160" spans="2:27" ht="15" customHeight="1">
      <c r="B160" s="97" t="s">
        <v>2</v>
      </c>
      <c r="C160" s="20">
        <v>1</v>
      </c>
      <c r="D160" s="20" t="s">
        <v>52</v>
      </c>
      <c r="E160" s="22">
        <v>140</v>
      </c>
      <c r="F160" s="140">
        <v>54</v>
      </c>
      <c r="G160" s="141">
        <v>90</v>
      </c>
      <c r="H160" s="140">
        <v>15</v>
      </c>
      <c r="I160" s="138">
        <v>34</v>
      </c>
      <c r="J160" s="138"/>
      <c r="K160" s="138">
        <v>3</v>
      </c>
      <c r="L160" s="71">
        <f t="shared" si="18"/>
        <v>15</v>
      </c>
      <c r="M160" s="88">
        <f t="shared" si="19"/>
        <v>37</v>
      </c>
      <c r="N160" s="142"/>
      <c r="O160" s="138">
        <v>1</v>
      </c>
      <c r="P160" s="138">
        <v>21</v>
      </c>
      <c r="Q160" s="141">
        <v>22</v>
      </c>
      <c r="R160" s="140">
        <v>254</v>
      </c>
      <c r="S160" s="143">
        <v>374</v>
      </c>
      <c r="T160" s="147">
        <v>52</v>
      </c>
      <c r="U160" s="151">
        <v>24</v>
      </c>
      <c r="V160" s="148">
        <f t="shared" si="20"/>
        <v>215</v>
      </c>
      <c r="W160" s="152">
        <f t="shared" si="21"/>
        <v>357</v>
      </c>
      <c r="X160" s="140">
        <v>4</v>
      </c>
      <c r="Y160" s="138">
        <v>4</v>
      </c>
      <c r="Z160" s="138">
        <v>17</v>
      </c>
      <c r="AA160" s="143">
        <v>17</v>
      </c>
    </row>
    <row r="161" spans="2:27" ht="15" customHeight="1">
      <c r="B161" s="97" t="s">
        <v>3</v>
      </c>
      <c r="C161" s="20">
        <v>1</v>
      </c>
      <c r="D161" s="20" t="s">
        <v>47</v>
      </c>
      <c r="E161" s="22">
        <v>141</v>
      </c>
      <c r="F161" s="140">
        <v>105</v>
      </c>
      <c r="G161" s="141">
        <v>186</v>
      </c>
      <c r="H161" s="140">
        <v>26</v>
      </c>
      <c r="I161" s="138">
        <v>52</v>
      </c>
      <c r="J161" s="138">
        <v>2</v>
      </c>
      <c r="K161" s="138">
        <v>8</v>
      </c>
      <c r="L161" s="71">
        <f t="shared" si="18"/>
        <v>28</v>
      </c>
      <c r="M161" s="88">
        <f t="shared" si="19"/>
        <v>60</v>
      </c>
      <c r="N161" s="142">
        <v>8</v>
      </c>
      <c r="O161" s="138">
        <v>1</v>
      </c>
      <c r="P161" s="138">
        <v>20</v>
      </c>
      <c r="Q161" s="141">
        <v>29</v>
      </c>
      <c r="R161" s="140">
        <v>374</v>
      </c>
      <c r="S161" s="143">
        <v>530</v>
      </c>
      <c r="T161" s="147">
        <v>98</v>
      </c>
      <c r="U161" s="151">
        <v>19</v>
      </c>
      <c r="V161" s="148">
        <f t="shared" si="20"/>
        <v>314</v>
      </c>
      <c r="W161" s="152">
        <f t="shared" si="21"/>
        <v>502</v>
      </c>
      <c r="X161" s="140">
        <v>4</v>
      </c>
      <c r="Y161" s="138">
        <v>4</v>
      </c>
      <c r="Z161" s="138">
        <v>19</v>
      </c>
      <c r="AA161" s="143">
        <v>19</v>
      </c>
    </row>
    <row r="162" spans="2:27" ht="15" customHeight="1">
      <c r="B162" s="97" t="s">
        <v>4</v>
      </c>
      <c r="C162" s="20"/>
      <c r="D162" s="20"/>
      <c r="E162" s="21">
        <v>142</v>
      </c>
      <c r="F162" s="140">
        <v>24</v>
      </c>
      <c r="G162" s="141">
        <v>30</v>
      </c>
      <c r="H162" s="140">
        <v>10</v>
      </c>
      <c r="I162" s="138">
        <v>15</v>
      </c>
      <c r="J162" s="138"/>
      <c r="K162" s="138"/>
      <c r="L162" s="71">
        <f t="shared" si="18"/>
        <v>10</v>
      </c>
      <c r="M162" s="88">
        <f t="shared" si="19"/>
        <v>15</v>
      </c>
      <c r="N162" s="142">
        <v>4</v>
      </c>
      <c r="O162" s="138"/>
      <c r="P162" s="138">
        <v>13</v>
      </c>
      <c r="Q162" s="141">
        <v>17</v>
      </c>
      <c r="R162" s="140">
        <v>249</v>
      </c>
      <c r="S162" s="143">
        <v>306</v>
      </c>
      <c r="T162" s="147">
        <v>53</v>
      </c>
      <c r="U162" s="151">
        <v>17</v>
      </c>
      <c r="V162" s="148">
        <f t="shared" si="20"/>
        <v>206</v>
      </c>
      <c r="W162" s="152">
        <f t="shared" si="21"/>
        <v>268</v>
      </c>
      <c r="X162" s="140">
        <v>2</v>
      </c>
      <c r="Y162" s="138">
        <v>2</v>
      </c>
      <c r="Z162" s="138">
        <v>10</v>
      </c>
      <c r="AA162" s="143">
        <v>10</v>
      </c>
    </row>
    <row r="163" spans="2:27" ht="15" customHeight="1">
      <c r="B163" s="97" t="s">
        <v>5</v>
      </c>
      <c r="C163" s="20"/>
      <c r="D163" s="20"/>
      <c r="E163" s="22">
        <v>143</v>
      </c>
      <c r="F163" s="140">
        <v>721</v>
      </c>
      <c r="G163" s="141">
        <v>1301</v>
      </c>
      <c r="H163" s="140">
        <v>207</v>
      </c>
      <c r="I163" s="138">
        <v>475</v>
      </c>
      <c r="J163" s="138">
        <v>13</v>
      </c>
      <c r="K163" s="138">
        <v>50</v>
      </c>
      <c r="L163" s="71">
        <f t="shared" si="18"/>
        <v>220</v>
      </c>
      <c r="M163" s="88">
        <f t="shared" si="19"/>
        <v>525</v>
      </c>
      <c r="N163" s="142">
        <v>41</v>
      </c>
      <c r="O163" s="138">
        <v>3</v>
      </c>
      <c r="P163" s="138">
        <v>247</v>
      </c>
      <c r="Q163" s="141">
        <v>291</v>
      </c>
      <c r="R163" s="140">
        <v>2865</v>
      </c>
      <c r="S163" s="143">
        <v>3784</v>
      </c>
      <c r="T163" s="147">
        <v>777</v>
      </c>
      <c r="U163" s="151">
        <v>198</v>
      </c>
      <c r="V163" s="148">
        <f t="shared" si="20"/>
        <v>2401</v>
      </c>
      <c r="W163" s="152">
        <f t="shared" si="21"/>
        <v>3625</v>
      </c>
      <c r="X163" s="140">
        <v>28</v>
      </c>
      <c r="Y163" s="138">
        <v>28</v>
      </c>
      <c r="Z163" s="138">
        <v>200</v>
      </c>
      <c r="AA163" s="143">
        <v>200</v>
      </c>
    </row>
    <row r="164" spans="2:27" ht="15" customHeight="1">
      <c r="B164" s="97" t="s">
        <v>6</v>
      </c>
      <c r="C164" s="20"/>
      <c r="D164" s="20"/>
      <c r="E164" s="22">
        <v>144</v>
      </c>
      <c r="F164" s="140">
        <v>101</v>
      </c>
      <c r="G164" s="141">
        <v>153</v>
      </c>
      <c r="H164" s="140">
        <v>18</v>
      </c>
      <c r="I164" s="138">
        <v>33</v>
      </c>
      <c r="J164" s="138">
        <v>1</v>
      </c>
      <c r="K164" s="138">
        <v>5</v>
      </c>
      <c r="L164" s="71">
        <f t="shared" si="18"/>
        <v>19</v>
      </c>
      <c r="M164" s="88">
        <f t="shared" si="19"/>
        <v>38</v>
      </c>
      <c r="N164" s="142">
        <v>32</v>
      </c>
      <c r="O164" s="138"/>
      <c r="P164" s="138">
        <v>60</v>
      </c>
      <c r="Q164" s="141">
        <v>92</v>
      </c>
      <c r="R164" s="140">
        <v>995</v>
      </c>
      <c r="S164" s="143">
        <v>1182</v>
      </c>
      <c r="T164" s="147">
        <v>252</v>
      </c>
      <c r="U164" s="151">
        <v>64</v>
      </c>
      <c r="V164" s="148">
        <f t="shared" si="20"/>
        <v>790</v>
      </c>
      <c r="W164" s="152">
        <f t="shared" si="21"/>
        <v>996</v>
      </c>
      <c r="X164" s="140">
        <v>12</v>
      </c>
      <c r="Y164" s="138">
        <v>12</v>
      </c>
      <c r="Z164" s="138">
        <v>31</v>
      </c>
      <c r="AA164" s="143">
        <v>31</v>
      </c>
    </row>
    <row r="165" spans="2:27" ht="15" customHeight="1">
      <c r="B165" s="97" t="s">
        <v>7</v>
      </c>
      <c r="C165" s="20">
        <v>1</v>
      </c>
      <c r="D165" s="20" t="s">
        <v>47</v>
      </c>
      <c r="E165" s="21">
        <v>145</v>
      </c>
      <c r="F165" s="140">
        <v>2</v>
      </c>
      <c r="G165" s="141">
        <v>4</v>
      </c>
      <c r="H165" s="140"/>
      <c r="I165" s="138">
        <v>2</v>
      </c>
      <c r="J165" s="138"/>
      <c r="K165" s="138"/>
      <c r="L165" s="71">
        <f t="shared" si="18"/>
        <v>0</v>
      </c>
      <c r="M165" s="88">
        <f t="shared" si="19"/>
        <v>2</v>
      </c>
      <c r="N165" s="142">
        <v>1</v>
      </c>
      <c r="O165" s="138"/>
      <c r="P165" s="138"/>
      <c r="Q165" s="141">
        <v>1</v>
      </c>
      <c r="R165" s="140">
        <v>7</v>
      </c>
      <c r="S165" s="143">
        <v>16</v>
      </c>
      <c r="T165" s="147">
        <v>2</v>
      </c>
      <c r="U165" s="151"/>
      <c r="V165" s="148">
        <f t="shared" si="20"/>
        <v>6</v>
      </c>
      <c r="W165" s="152">
        <f t="shared" si="21"/>
        <v>17</v>
      </c>
      <c r="X165" s="140"/>
      <c r="Y165" s="138"/>
      <c r="Z165" s="138"/>
      <c r="AA165" s="143"/>
    </row>
    <row r="166" spans="2:27" ht="15" customHeight="1">
      <c r="B166" s="97" t="s">
        <v>8</v>
      </c>
      <c r="C166" s="20"/>
      <c r="D166" s="20"/>
      <c r="E166" s="22">
        <v>146</v>
      </c>
      <c r="F166" s="140">
        <v>513</v>
      </c>
      <c r="G166" s="141">
        <v>1023</v>
      </c>
      <c r="H166" s="140">
        <v>163</v>
      </c>
      <c r="I166" s="138">
        <v>379</v>
      </c>
      <c r="J166" s="138">
        <v>15</v>
      </c>
      <c r="K166" s="138">
        <v>63</v>
      </c>
      <c r="L166" s="71">
        <f t="shared" si="18"/>
        <v>178</v>
      </c>
      <c r="M166" s="88">
        <f t="shared" si="19"/>
        <v>442</v>
      </c>
      <c r="N166" s="142">
        <v>36</v>
      </c>
      <c r="O166" s="138">
        <v>5</v>
      </c>
      <c r="P166" s="138">
        <v>177</v>
      </c>
      <c r="Q166" s="141">
        <v>219</v>
      </c>
      <c r="R166" s="140">
        <v>1748</v>
      </c>
      <c r="S166" s="143">
        <v>2483</v>
      </c>
      <c r="T166" s="147">
        <v>416</v>
      </c>
      <c r="U166" s="151">
        <v>104</v>
      </c>
      <c r="V166" s="148">
        <f t="shared" si="20"/>
        <v>1625</v>
      </c>
      <c r="W166" s="152">
        <f t="shared" si="21"/>
        <v>2624</v>
      </c>
      <c r="X166" s="140">
        <v>27</v>
      </c>
      <c r="Y166" s="138">
        <v>27</v>
      </c>
      <c r="Z166" s="138">
        <v>100</v>
      </c>
      <c r="AA166" s="143">
        <v>100</v>
      </c>
    </row>
    <row r="167" spans="2:27" ht="15" customHeight="1">
      <c r="B167" s="97" t="s">
        <v>9</v>
      </c>
      <c r="C167" s="20">
        <v>1</v>
      </c>
      <c r="D167" s="20" t="s">
        <v>47</v>
      </c>
      <c r="E167" s="22">
        <v>147</v>
      </c>
      <c r="F167" s="140">
        <v>32</v>
      </c>
      <c r="G167" s="141">
        <v>56</v>
      </c>
      <c r="H167" s="140">
        <v>8</v>
      </c>
      <c r="I167" s="138">
        <v>17</v>
      </c>
      <c r="J167" s="138"/>
      <c r="K167" s="138"/>
      <c r="L167" s="71">
        <f t="shared" si="18"/>
        <v>8</v>
      </c>
      <c r="M167" s="88">
        <f t="shared" si="19"/>
        <v>17</v>
      </c>
      <c r="N167" s="142">
        <v>3</v>
      </c>
      <c r="O167" s="138"/>
      <c r="P167" s="138">
        <v>10</v>
      </c>
      <c r="Q167" s="141">
        <v>13</v>
      </c>
      <c r="R167" s="140">
        <v>123</v>
      </c>
      <c r="S167" s="143">
        <v>183</v>
      </c>
      <c r="T167" s="147">
        <v>25</v>
      </c>
      <c r="U167" s="151">
        <v>6</v>
      </c>
      <c r="V167" s="148">
        <f t="shared" si="20"/>
        <v>113</v>
      </c>
      <c r="W167" s="152">
        <f t="shared" si="21"/>
        <v>182</v>
      </c>
      <c r="X167" s="140">
        <v>2</v>
      </c>
      <c r="Y167" s="138">
        <v>2</v>
      </c>
      <c r="Z167" s="138">
        <v>9</v>
      </c>
      <c r="AA167" s="143">
        <v>9</v>
      </c>
    </row>
    <row r="168" spans="2:27" ht="15" customHeight="1">
      <c r="B168" s="97" t="s">
        <v>10</v>
      </c>
      <c r="C168" s="20"/>
      <c r="D168" s="20"/>
      <c r="E168" s="21">
        <v>148</v>
      </c>
      <c r="F168" s="140">
        <v>336</v>
      </c>
      <c r="G168" s="141">
        <v>584</v>
      </c>
      <c r="H168" s="140">
        <v>94</v>
      </c>
      <c r="I168" s="138">
        <v>195</v>
      </c>
      <c r="J168" s="138">
        <v>7</v>
      </c>
      <c r="K168" s="138">
        <v>29</v>
      </c>
      <c r="L168" s="71">
        <f t="shared" si="18"/>
        <v>101</v>
      </c>
      <c r="M168" s="88">
        <f t="shared" si="19"/>
        <v>224</v>
      </c>
      <c r="N168" s="142">
        <v>81</v>
      </c>
      <c r="O168" s="138">
        <v>2</v>
      </c>
      <c r="P168" s="138">
        <v>114</v>
      </c>
      <c r="Q168" s="141">
        <v>197</v>
      </c>
      <c r="R168" s="140">
        <v>1960</v>
      </c>
      <c r="S168" s="143">
        <v>2448</v>
      </c>
      <c r="T168" s="147">
        <v>473</v>
      </c>
      <c r="U168" s="151">
        <v>174</v>
      </c>
      <c r="V168" s="148">
        <f t="shared" si="20"/>
        <v>1611</v>
      </c>
      <c r="W168" s="152">
        <f t="shared" si="21"/>
        <v>2222</v>
      </c>
      <c r="X168" s="140">
        <v>21</v>
      </c>
      <c r="Y168" s="138">
        <v>21</v>
      </c>
      <c r="Z168" s="138">
        <v>87</v>
      </c>
      <c r="AA168" s="143">
        <v>87</v>
      </c>
    </row>
    <row r="169" spans="2:27" ht="15" customHeight="1">
      <c r="B169" s="97" t="s">
        <v>11</v>
      </c>
      <c r="C169" s="20">
        <v>1</v>
      </c>
      <c r="D169" s="20" t="s">
        <v>52</v>
      </c>
      <c r="E169" s="22">
        <v>149</v>
      </c>
      <c r="F169" s="140">
        <v>1</v>
      </c>
      <c r="G169" s="141">
        <v>2</v>
      </c>
      <c r="H169" s="140"/>
      <c r="I169" s="138"/>
      <c r="J169" s="138"/>
      <c r="K169" s="138"/>
      <c r="L169" s="71">
        <f t="shared" si="18"/>
        <v>0</v>
      </c>
      <c r="M169" s="88">
        <f t="shared" si="19"/>
        <v>0</v>
      </c>
      <c r="N169" s="142"/>
      <c r="O169" s="138"/>
      <c r="P169" s="138"/>
      <c r="Q169" s="141"/>
      <c r="R169" s="140">
        <v>11</v>
      </c>
      <c r="S169" s="143">
        <v>22</v>
      </c>
      <c r="T169" s="147">
        <v>2</v>
      </c>
      <c r="U169" s="151"/>
      <c r="V169" s="148">
        <f t="shared" si="20"/>
        <v>9</v>
      </c>
      <c r="W169" s="152">
        <f t="shared" si="21"/>
        <v>20</v>
      </c>
      <c r="X169" s="140"/>
      <c r="Y169" s="138"/>
      <c r="Z169" s="138">
        <v>1</v>
      </c>
      <c r="AA169" s="143">
        <v>1</v>
      </c>
    </row>
    <row r="170" spans="2:27" ht="15" customHeight="1">
      <c r="B170" s="97" t="s">
        <v>12</v>
      </c>
      <c r="C170" s="20">
        <v>1</v>
      </c>
      <c r="D170" s="20" t="s">
        <v>52</v>
      </c>
      <c r="E170" s="22">
        <v>150</v>
      </c>
      <c r="F170" s="140">
        <v>11</v>
      </c>
      <c r="G170" s="141">
        <v>20</v>
      </c>
      <c r="H170" s="140">
        <v>6</v>
      </c>
      <c r="I170" s="138">
        <v>11</v>
      </c>
      <c r="J170" s="138"/>
      <c r="K170" s="138"/>
      <c r="L170" s="71">
        <f t="shared" si="18"/>
        <v>6</v>
      </c>
      <c r="M170" s="88">
        <f t="shared" si="19"/>
        <v>11</v>
      </c>
      <c r="N170" s="142">
        <v>6</v>
      </c>
      <c r="O170" s="138"/>
      <c r="P170" s="138">
        <v>7</v>
      </c>
      <c r="Q170" s="141">
        <v>13</v>
      </c>
      <c r="R170" s="140">
        <v>90</v>
      </c>
      <c r="S170" s="143">
        <v>125</v>
      </c>
      <c r="T170" s="147">
        <v>13</v>
      </c>
      <c r="U170" s="151">
        <v>4</v>
      </c>
      <c r="V170" s="148">
        <f t="shared" si="20"/>
        <v>92</v>
      </c>
      <c r="W170" s="152">
        <f t="shared" si="21"/>
        <v>132</v>
      </c>
      <c r="X170" s="140"/>
      <c r="Y170" s="138"/>
      <c r="Z170" s="138">
        <v>4</v>
      </c>
      <c r="AA170" s="143">
        <v>4</v>
      </c>
    </row>
    <row r="171" spans="2:27" ht="15" customHeight="1">
      <c r="B171" s="97" t="s">
        <v>13</v>
      </c>
      <c r="C171" s="20" t="s">
        <v>63</v>
      </c>
      <c r="D171" s="20"/>
      <c r="E171" s="21">
        <v>151</v>
      </c>
      <c r="F171" s="140">
        <v>5950</v>
      </c>
      <c r="G171" s="141">
        <v>12671</v>
      </c>
      <c r="H171" s="140">
        <v>1831</v>
      </c>
      <c r="I171" s="138">
        <v>4243</v>
      </c>
      <c r="J171" s="138">
        <v>131</v>
      </c>
      <c r="K171" s="138">
        <v>508</v>
      </c>
      <c r="L171" s="71">
        <f t="shared" si="18"/>
        <v>1962</v>
      </c>
      <c r="M171" s="88">
        <f t="shared" si="19"/>
        <v>4751</v>
      </c>
      <c r="N171" s="142">
        <v>403</v>
      </c>
      <c r="O171" s="138">
        <v>2</v>
      </c>
      <c r="P171" s="138">
        <v>1196</v>
      </c>
      <c r="Q171" s="141">
        <v>1603</v>
      </c>
      <c r="R171" s="140">
        <v>12836</v>
      </c>
      <c r="S171" s="143">
        <v>20076</v>
      </c>
      <c r="T171" s="147">
        <v>2757</v>
      </c>
      <c r="U171" s="151">
        <v>354</v>
      </c>
      <c r="V171" s="148">
        <f t="shared" si="20"/>
        <v>13290</v>
      </c>
      <c r="W171" s="152">
        <f t="shared" si="21"/>
        <v>23319</v>
      </c>
      <c r="X171" s="140">
        <v>261</v>
      </c>
      <c r="Y171" s="138">
        <v>266</v>
      </c>
      <c r="Z171" s="138">
        <v>1170</v>
      </c>
      <c r="AA171" s="143">
        <v>1170</v>
      </c>
    </row>
    <row r="172" spans="2:27" ht="15" customHeight="1">
      <c r="B172" s="97" t="s">
        <v>14</v>
      </c>
      <c r="C172" s="20"/>
      <c r="D172" s="20"/>
      <c r="E172" s="22">
        <v>152</v>
      </c>
      <c r="F172" s="140">
        <v>108</v>
      </c>
      <c r="G172" s="141">
        <v>166</v>
      </c>
      <c r="H172" s="140">
        <v>27</v>
      </c>
      <c r="I172" s="138">
        <v>44</v>
      </c>
      <c r="J172" s="138">
        <v>3</v>
      </c>
      <c r="K172" s="138">
        <v>13</v>
      </c>
      <c r="L172" s="71">
        <f t="shared" si="18"/>
        <v>30</v>
      </c>
      <c r="M172" s="88">
        <f t="shared" si="19"/>
        <v>57</v>
      </c>
      <c r="N172" s="142">
        <v>14</v>
      </c>
      <c r="O172" s="138">
        <v>1</v>
      </c>
      <c r="P172" s="138">
        <v>46</v>
      </c>
      <c r="Q172" s="141">
        <v>63</v>
      </c>
      <c r="R172" s="140">
        <v>1018</v>
      </c>
      <c r="S172" s="143">
        <v>1194</v>
      </c>
      <c r="T172" s="147">
        <v>284</v>
      </c>
      <c r="U172" s="151">
        <v>32</v>
      </c>
      <c r="V172" s="148">
        <f t="shared" si="20"/>
        <v>795</v>
      </c>
      <c r="W172" s="152">
        <f t="shared" si="21"/>
        <v>998</v>
      </c>
      <c r="X172" s="140">
        <v>8</v>
      </c>
      <c r="Y172" s="138">
        <v>8</v>
      </c>
      <c r="Z172" s="138">
        <v>27</v>
      </c>
      <c r="AA172" s="143">
        <v>27</v>
      </c>
    </row>
    <row r="173" spans="2:27" ht="15" customHeight="1">
      <c r="B173" s="97" t="s">
        <v>15</v>
      </c>
      <c r="C173" s="20"/>
      <c r="D173" s="20"/>
      <c r="E173" s="22">
        <v>153</v>
      </c>
      <c r="F173" s="140">
        <v>138</v>
      </c>
      <c r="G173" s="141">
        <v>222</v>
      </c>
      <c r="H173" s="140">
        <v>33</v>
      </c>
      <c r="I173" s="138">
        <v>66</v>
      </c>
      <c r="J173" s="138">
        <v>1</v>
      </c>
      <c r="K173" s="138">
        <v>8</v>
      </c>
      <c r="L173" s="71">
        <f t="shared" si="18"/>
        <v>34</v>
      </c>
      <c r="M173" s="88">
        <f t="shared" si="19"/>
        <v>74</v>
      </c>
      <c r="N173" s="142">
        <v>26</v>
      </c>
      <c r="O173" s="138">
        <v>1</v>
      </c>
      <c r="P173" s="138">
        <v>84</v>
      </c>
      <c r="Q173" s="141">
        <v>112</v>
      </c>
      <c r="R173" s="140">
        <v>782</v>
      </c>
      <c r="S173" s="143">
        <v>1009</v>
      </c>
      <c r="T173" s="147">
        <v>214</v>
      </c>
      <c r="U173" s="151">
        <v>45</v>
      </c>
      <c r="V173" s="148">
        <f t="shared" si="20"/>
        <v>669</v>
      </c>
      <c r="W173" s="152">
        <f t="shared" si="21"/>
        <v>936</v>
      </c>
      <c r="X173" s="140">
        <v>11</v>
      </c>
      <c r="Y173" s="138">
        <v>11</v>
      </c>
      <c r="Z173" s="138">
        <v>37</v>
      </c>
      <c r="AA173" s="143">
        <v>37</v>
      </c>
    </row>
    <row r="174" spans="2:27" ht="15" customHeight="1">
      <c r="B174" s="97" t="s">
        <v>16</v>
      </c>
      <c r="C174" s="20" t="s">
        <v>63</v>
      </c>
      <c r="D174" s="20"/>
      <c r="E174" s="22">
        <v>155</v>
      </c>
      <c r="F174" s="140">
        <v>848</v>
      </c>
      <c r="G174" s="141">
        <v>1424</v>
      </c>
      <c r="H174" s="140">
        <v>151</v>
      </c>
      <c r="I174" s="138">
        <v>313</v>
      </c>
      <c r="J174" s="138">
        <v>9</v>
      </c>
      <c r="K174" s="138">
        <v>38</v>
      </c>
      <c r="L174" s="71">
        <f t="shared" si="18"/>
        <v>160</v>
      </c>
      <c r="M174" s="88">
        <f t="shared" si="19"/>
        <v>351</v>
      </c>
      <c r="N174" s="142">
        <v>436</v>
      </c>
      <c r="O174" s="138">
        <v>2</v>
      </c>
      <c r="P174" s="138">
        <v>282</v>
      </c>
      <c r="Q174" s="141">
        <v>721</v>
      </c>
      <c r="R174" s="140">
        <v>3153</v>
      </c>
      <c r="S174" s="143">
        <v>3956</v>
      </c>
      <c r="T174" s="147">
        <v>932</v>
      </c>
      <c r="U174" s="151">
        <v>144</v>
      </c>
      <c r="V174" s="148">
        <f t="shared" si="20"/>
        <v>2958</v>
      </c>
      <c r="W174" s="152">
        <f t="shared" si="21"/>
        <v>3952</v>
      </c>
      <c r="X174" s="140">
        <v>46</v>
      </c>
      <c r="Y174" s="138">
        <v>46</v>
      </c>
      <c r="Z174" s="138">
        <v>176</v>
      </c>
      <c r="AA174" s="143">
        <v>176</v>
      </c>
    </row>
    <row r="175" spans="2:27" ht="15" customHeight="1">
      <c r="B175" s="97" t="s">
        <v>17</v>
      </c>
      <c r="C175" s="20" t="s">
        <v>63</v>
      </c>
      <c r="D175" s="20"/>
      <c r="E175" s="22">
        <v>156</v>
      </c>
      <c r="F175" s="140">
        <v>1722</v>
      </c>
      <c r="G175" s="141">
        <v>3299</v>
      </c>
      <c r="H175" s="140">
        <v>575</v>
      </c>
      <c r="I175" s="138">
        <v>1299</v>
      </c>
      <c r="J175" s="138">
        <v>24</v>
      </c>
      <c r="K175" s="138">
        <v>94</v>
      </c>
      <c r="L175" s="71">
        <f t="shared" si="18"/>
        <v>599</v>
      </c>
      <c r="M175" s="88">
        <f t="shared" si="19"/>
        <v>1393</v>
      </c>
      <c r="N175" s="142">
        <v>92</v>
      </c>
      <c r="O175" s="138">
        <v>2</v>
      </c>
      <c r="P175" s="138">
        <v>300</v>
      </c>
      <c r="Q175" s="141">
        <v>395</v>
      </c>
      <c r="R175" s="140">
        <v>4031</v>
      </c>
      <c r="S175" s="143">
        <v>6001</v>
      </c>
      <c r="T175" s="147">
        <v>714</v>
      </c>
      <c r="U175" s="151">
        <v>104</v>
      </c>
      <c r="V175" s="148">
        <f t="shared" si="20"/>
        <v>4207</v>
      </c>
      <c r="W175" s="152">
        <f t="shared" si="21"/>
        <v>6971</v>
      </c>
      <c r="X175" s="140">
        <v>81</v>
      </c>
      <c r="Y175" s="138">
        <v>81</v>
      </c>
      <c r="Z175" s="138">
        <v>416</v>
      </c>
      <c r="AA175" s="143">
        <v>416</v>
      </c>
    </row>
    <row r="176" spans="2:27" ht="15" customHeight="1">
      <c r="B176" s="97" t="s">
        <v>18</v>
      </c>
      <c r="C176" s="20">
        <v>1</v>
      </c>
      <c r="D176" s="20" t="s">
        <v>75</v>
      </c>
      <c r="E176" s="21">
        <v>154</v>
      </c>
      <c r="F176" s="140">
        <v>76</v>
      </c>
      <c r="G176" s="141">
        <v>105</v>
      </c>
      <c r="H176" s="140">
        <v>9</v>
      </c>
      <c r="I176" s="138">
        <v>15</v>
      </c>
      <c r="J176" s="138">
        <v>1</v>
      </c>
      <c r="K176" s="138">
        <v>3</v>
      </c>
      <c r="L176" s="71">
        <f t="shared" si="18"/>
        <v>10</v>
      </c>
      <c r="M176" s="88">
        <f t="shared" si="19"/>
        <v>18</v>
      </c>
      <c r="N176" s="142">
        <v>18</v>
      </c>
      <c r="O176" s="138"/>
      <c r="P176" s="138">
        <v>34</v>
      </c>
      <c r="Q176" s="141">
        <v>53</v>
      </c>
      <c r="R176" s="140">
        <v>244</v>
      </c>
      <c r="S176" s="143">
        <v>325</v>
      </c>
      <c r="T176" s="147">
        <v>64</v>
      </c>
      <c r="U176" s="151">
        <v>17</v>
      </c>
      <c r="V176" s="148">
        <f t="shared" si="20"/>
        <v>226</v>
      </c>
      <c r="W176" s="152">
        <f t="shared" si="21"/>
        <v>315</v>
      </c>
      <c r="X176" s="140">
        <v>4</v>
      </c>
      <c r="Y176" s="138">
        <v>4</v>
      </c>
      <c r="Z176" s="138">
        <v>19</v>
      </c>
      <c r="AA176" s="143">
        <v>19</v>
      </c>
    </row>
    <row r="177" spans="2:27" ht="15" customHeight="1">
      <c r="B177" s="97" t="s">
        <v>19</v>
      </c>
      <c r="C177" s="20"/>
      <c r="D177" s="20"/>
      <c r="E177" s="21">
        <v>157</v>
      </c>
      <c r="F177" s="140">
        <v>4</v>
      </c>
      <c r="G177" s="141">
        <v>5</v>
      </c>
      <c r="H177" s="140">
        <v>3</v>
      </c>
      <c r="I177" s="138">
        <v>5</v>
      </c>
      <c r="J177" s="138"/>
      <c r="K177" s="138"/>
      <c r="L177" s="71">
        <f t="shared" si="18"/>
        <v>3</v>
      </c>
      <c r="M177" s="88">
        <f t="shared" si="19"/>
        <v>5</v>
      </c>
      <c r="N177" s="142">
        <v>2</v>
      </c>
      <c r="O177" s="138"/>
      <c r="P177" s="138">
        <v>6</v>
      </c>
      <c r="Q177" s="141">
        <v>8</v>
      </c>
      <c r="R177" s="140">
        <v>40</v>
      </c>
      <c r="S177" s="143">
        <v>52</v>
      </c>
      <c r="T177" s="147">
        <v>12</v>
      </c>
      <c r="U177" s="151">
        <v>1</v>
      </c>
      <c r="V177" s="148">
        <f t="shared" si="20"/>
        <v>38</v>
      </c>
      <c r="W177" s="152">
        <f t="shared" si="21"/>
        <v>52</v>
      </c>
      <c r="X177" s="140"/>
      <c r="Y177" s="138"/>
      <c r="Z177" s="138">
        <v>1</v>
      </c>
      <c r="AA177" s="143">
        <v>1</v>
      </c>
    </row>
    <row r="178" spans="2:27" ht="15" customHeight="1">
      <c r="B178" s="97" t="s">
        <v>20</v>
      </c>
      <c r="C178" s="20"/>
      <c r="D178" s="20"/>
      <c r="E178" s="22">
        <v>158</v>
      </c>
      <c r="F178" s="140">
        <v>54</v>
      </c>
      <c r="G178" s="141">
        <v>77</v>
      </c>
      <c r="H178" s="140">
        <v>9</v>
      </c>
      <c r="I178" s="138">
        <v>19</v>
      </c>
      <c r="J178" s="138"/>
      <c r="K178" s="138"/>
      <c r="L178" s="71">
        <f t="shared" si="18"/>
        <v>9</v>
      </c>
      <c r="M178" s="88">
        <f t="shared" si="19"/>
        <v>19</v>
      </c>
      <c r="N178" s="142">
        <v>10</v>
      </c>
      <c r="O178" s="138"/>
      <c r="P178" s="138">
        <v>44</v>
      </c>
      <c r="Q178" s="141">
        <v>54</v>
      </c>
      <c r="R178" s="140">
        <v>376</v>
      </c>
      <c r="S178" s="143">
        <v>432</v>
      </c>
      <c r="T178" s="147">
        <v>113</v>
      </c>
      <c r="U178" s="151">
        <v>28</v>
      </c>
      <c r="V178" s="148">
        <f t="shared" si="20"/>
        <v>298</v>
      </c>
      <c r="W178" s="152">
        <f t="shared" si="21"/>
        <v>364</v>
      </c>
      <c r="X178" s="140">
        <v>5</v>
      </c>
      <c r="Y178" s="138">
        <v>5</v>
      </c>
      <c r="Z178" s="138">
        <v>19</v>
      </c>
      <c r="AA178" s="143">
        <v>19</v>
      </c>
    </row>
    <row r="179" spans="2:27" ht="15" customHeight="1">
      <c r="B179" s="97" t="s">
        <v>21</v>
      </c>
      <c r="C179" s="20"/>
      <c r="D179" s="20"/>
      <c r="E179" s="22">
        <v>159</v>
      </c>
      <c r="F179" s="140">
        <v>237</v>
      </c>
      <c r="G179" s="141">
        <v>324</v>
      </c>
      <c r="H179" s="140">
        <v>43</v>
      </c>
      <c r="I179" s="138">
        <v>89</v>
      </c>
      <c r="J179" s="138">
        <v>2</v>
      </c>
      <c r="K179" s="138">
        <v>7</v>
      </c>
      <c r="L179" s="71">
        <f t="shared" si="18"/>
        <v>45</v>
      </c>
      <c r="M179" s="88">
        <f t="shared" si="19"/>
        <v>96</v>
      </c>
      <c r="N179" s="142">
        <v>34</v>
      </c>
      <c r="O179" s="138">
        <v>1</v>
      </c>
      <c r="P179" s="138">
        <v>64</v>
      </c>
      <c r="Q179" s="141">
        <v>99</v>
      </c>
      <c r="R179" s="140">
        <v>1102</v>
      </c>
      <c r="S179" s="143">
        <v>1323</v>
      </c>
      <c r="T179" s="147">
        <v>316</v>
      </c>
      <c r="U179" s="151">
        <v>86</v>
      </c>
      <c r="V179" s="148">
        <f t="shared" si="20"/>
        <v>844</v>
      </c>
      <c r="W179" s="152">
        <f t="shared" si="21"/>
        <v>1116</v>
      </c>
      <c r="X179" s="140">
        <v>14</v>
      </c>
      <c r="Y179" s="138">
        <v>14</v>
      </c>
      <c r="Z179" s="138">
        <v>54</v>
      </c>
      <c r="AA179" s="143">
        <v>54</v>
      </c>
    </row>
    <row r="180" spans="2:27" ht="15" customHeight="1">
      <c r="B180" s="97" t="s">
        <v>22</v>
      </c>
      <c r="C180" s="20">
        <v>1</v>
      </c>
      <c r="D180" s="20" t="s">
        <v>47</v>
      </c>
      <c r="E180" s="21">
        <v>160</v>
      </c>
      <c r="F180" s="140">
        <v>25</v>
      </c>
      <c r="G180" s="141">
        <v>34</v>
      </c>
      <c r="H180" s="140">
        <v>10</v>
      </c>
      <c r="I180" s="138">
        <v>16</v>
      </c>
      <c r="J180" s="138"/>
      <c r="K180" s="138">
        <v>1</v>
      </c>
      <c r="L180" s="71">
        <f t="shared" si="18"/>
        <v>10</v>
      </c>
      <c r="M180" s="88">
        <f t="shared" si="19"/>
        <v>17</v>
      </c>
      <c r="N180" s="142">
        <v>14</v>
      </c>
      <c r="O180" s="138"/>
      <c r="P180" s="138">
        <v>21</v>
      </c>
      <c r="Q180" s="141">
        <v>35</v>
      </c>
      <c r="R180" s="140">
        <v>114</v>
      </c>
      <c r="S180" s="143">
        <v>161</v>
      </c>
      <c r="T180" s="147">
        <v>23</v>
      </c>
      <c r="U180" s="151">
        <v>9</v>
      </c>
      <c r="V180" s="148">
        <f t="shared" si="20"/>
        <v>127</v>
      </c>
      <c r="W180" s="152">
        <f t="shared" si="21"/>
        <v>181</v>
      </c>
      <c r="X180" s="140">
        <v>3</v>
      </c>
      <c r="Y180" s="138">
        <v>3</v>
      </c>
      <c r="Z180" s="138">
        <v>11</v>
      </c>
      <c r="AA180" s="143">
        <v>11</v>
      </c>
    </row>
    <row r="181" spans="2:27" ht="15" customHeight="1">
      <c r="B181" s="97" t="s">
        <v>23</v>
      </c>
      <c r="C181" s="20"/>
      <c r="D181" s="20"/>
      <c r="E181" s="22">
        <v>161</v>
      </c>
      <c r="F181" s="140">
        <v>9</v>
      </c>
      <c r="G181" s="141">
        <v>19</v>
      </c>
      <c r="H181" s="140">
        <v>4</v>
      </c>
      <c r="I181" s="138">
        <v>12</v>
      </c>
      <c r="J181" s="138"/>
      <c r="K181" s="138"/>
      <c r="L181" s="71">
        <f aca="true" t="shared" si="22" ref="L181:L190">SUM(H181,J181)</f>
        <v>4</v>
      </c>
      <c r="M181" s="88">
        <f aca="true" t="shared" si="23" ref="M181:M190">SUM(I181,K181)</f>
        <v>12</v>
      </c>
      <c r="N181" s="142">
        <v>1</v>
      </c>
      <c r="O181" s="138"/>
      <c r="P181" s="138">
        <v>11</v>
      </c>
      <c r="Q181" s="141">
        <v>12</v>
      </c>
      <c r="R181" s="140">
        <v>451</v>
      </c>
      <c r="S181" s="143">
        <v>472</v>
      </c>
      <c r="T181" s="147">
        <v>172</v>
      </c>
      <c r="U181" s="151">
        <v>22</v>
      </c>
      <c r="V181" s="148">
        <f t="shared" si="20"/>
        <v>273</v>
      </c>
      <c r="W181" s="152">
        <f t="shared" si="21"/>
        <v>302</v>
      </c>
      <c r="X181" s="140">
        <v>1</v>
      </c>
      <c r="Y181" s="138">
        <v>1</v>
      </c>
      <c r="Z181" s="138">
        <v>9</v>
      </c>
      <c r="AA181" s="143">
        <v>9</v>
      </c>
    </row>
    <row r="182" spans="2:27" ht="15" customHeight="1">
      <c r="B182" s="97" t="s">
        <v>24</v>
      </c>
      <c r="C182" s="20">
        <v>1</v>
      </c>
      <c r="D182" s="20" t="s">
        <v>52</v>
      </c>
      <c r="E182" s="22">
        <v>162</v>
      </c>
      <c r="F182" s="140">
        <v>218</v>
      </c>
      <c r="G182" s="141">
        <v>414</v>
      </c>
      <c r="H182" s="140">
        <v>56</v>
      </c>
      <c r="I182" s="138">
        <v>128</v>
      </c>
      <c r="J182" s="138">
        <v>3</v>
      </c>
      <c r="K182" s="138">
        <v>13</v>
      </c>
      <c r="L182" s="71">
        <f t="shared" si="22"/>
        <v>59</v>
      </c>
      <c r="M182" s="88">
        <f t="shared" si="23"/>
        <v>141</v>
      </c>
      <c r="N182" s="142">
        <v>11</v>
      </c>
      <c r="O182" s="138"/>
      <c r="P182" s="138">
        <v>81</v>
      </c>
      <c r="Q182" s="141">
        <v>93</v>
      </c>
      <c r="R182" s="140">
        <v>798</v>
      </c>
      <c r="S182" s="143">
        <v>1157</v>
      </c>
      <c r="T182" s="147">
        <v>193</v>
      </c>
      <c r="U182" s="151">
        <v>56</v>
      </c>
      <c r="V182" s="148">
        <f t="shared" si="20"/>
        <v>701</v>
      </c>
      <c r="W182" s="152">
        <f t="shared" si="21"/>
        <v>1142</v>
      </c>
      <c r="X182" s="140">
        <v>13</v>
      </c>
      <c r="Y182" s="138">
        <v>13</v>
      </c>
      <c r="Z182" s="138">
        <v>48</v>
      </c>
      <c r="AA182" s="143">
        <v>48</v>
      </c>
    </row>
    <row r="183" spans="2:27" ht="15" customHeight="1">
      <c r="B183" s="97" t="s">
        <v>25</v>
      </c>
      <c r="C183" s="20"/>
      <c r="D183" s="20"/>
      <c r="E183" s="21">
        <v>163</v>
      </c>
      <c r="F183" s="140">
        <v>1344</v>
      </c>
      <c r="G183" s="141">
        <v>2687</v>
      </c>
      <c r="H183" s="140">
        <v>341</v>
      </c>
      <c r="I183" s="138">
        <v>748</v>
      </c>
      <c r="J183" s="138">
        <v>38</v>
      </c>
      <c r="K183" s="138">
        <v>142</v>
      </c>
      <c r="L183" s="71">
        <f t="shared" si="22"/>
        <v>379</v>
      </c>
      <c r="M183" s="88">
        <f t="shared" si="23"/>
        <v>890</v>
      </c>
      <c r="N183" s="142">
        <v>35</v>
      </c>
      <c r="O183" s="138">
        <v>1</v>
      </c>
      <c r="P183" s="138">
        <v>188</v>
      </c>
      <c r="Q183" s="141">
        <v>225</v>
      </c>
      <c r="R183" s="140">
        <v>3092</v>
      </c>
      <c r="S183" s="143">
        <v>4716</v>
      </c>
      <c r="T183" s="147">
        <v>632</v>
      </c>
      <c r="U183" s="151">
        <v>101</v>
      </c>
      <c r="V183" s="148">
        <f t="shared" si="20"/>
        <v>2963</v>
      </c>
      <c r="W183" s="152">
        <f t="shared" si="21"/>
        <v>5098</v>
      </c>
      <c r="X183" s="140">
        <v>54</v>
      </c>
      <c r="Y183" s="138">
        <v>54</v>
      </c>
      <c r="Z183" s="138">
        <v>375</v>
      </c>
      <c r="AA183" s="143">
        <v>375</v>
      </c>
    </row>
    <row r="184" spans="2:27" ht="15" customHeight="1">
      <c r="B184" s="97" t="s">
        <v>26</v>
      </c>
      <c r="C184" s="20"/>
      <c r="D184" s="20"/>
      <c r="E184" s="22">
        <v>164</v>
      </c>
      <c r="F184" s="140">
        <v>338</v>
      </c>
      <c r="G184" s="141">
        <v>567</v>
      </c>
      <c r="H184" s="140">
        <v>115</v>
      </c>
      <c r="I184" s="138">
        <v>216</v>
      </c>
      <c r="J184" s="138">
        <v>1</v>
      </c>
      <c r="K184" s="138">
        <v>11</v>
      </c>
      <c r="L184" s="71">
        <f t="shared" si="22"/>
        <v>116</v>
      </c>
      <c r="M184" s="88">
        <f t="shared" si="23"/>
        <v>227</v>
      </c>
      <c r="N184" s="142">
        <v>44</v>
      </c>
      <c r="O184" s="138">
        <v>1</v>
      </c>
      <c r="P184" s="138">
        <v>102</v>
      </c>
      <c r="Q184" s="141">
        <v>147</v>
      </c>
      <c r="R184" s="140">
        <v>1765</v>
      </c>
      <c r="S184" s="143">
        <v>2272</v>
      </c>
      <c r="T184" s="147">
        <v>418</v>
      </c>
      <c r="U184" s="151">
        <v>71</v>
      </c>
      <c r="V184" s="148">
        <f t="shared" si="20"/>
        <v>1539</v>
      </c>
      <c r="W184" s="152">
        <f t="shared" si="21"/>
        <v>2157</v>
      </c>
      <c r="X184" s="140">
        <v>19</v>
      </c>
      <c r="Y184" s="138">
        <v>21</v>
      </c>
      <c r="Z184" s="138">
        <v>96</v>
      </c>
      <c r="AA184" s="143">
        <v>96</v>
      </c>
    </row>
    <row r="185" spans="2:27" ht="15" customHeight="1">
      <c r="B185" s="97" t="s">
        <v>27</v>
      </c>
      <c r="C185" s="20"/>
      <c r="D185" s="20"/>
      <c r="E185" s="22">
        <v>165</v>
      </c>
      <c r="F185" s="140">
        <v>129</v>
      </c>
      <c r="G185" s="141">
        <v>245</v>
      </c>
      <c r="H185" s="140">
        <v>37</v>
      </c>
      <c r="I185" s="138">
        <v>94</v>
      </c>
      <c r="J185" s="138">
        <v>1</v>
      </c>
      <c r="K185" s="138">
        <v>6</v>
      </c>
      <c r="L185" s="71">
        <f t="shared" si="22"/>
        <v>38</v>
      </c>
      <c r="M185" s="88">
        <f t="shared" si="23"/>
        <v>100</v>
      </c>
      <c r="N185" s="142">
        <v>7</v>
      </c>
      <c r="O185" s="138"/>
      <c r="P185" s="138">
        <v>24</v>
      </c>
      <c r="Q185" s="141">
        <v>32</v>
      </c>
      <c r="R185" s="140">
        <v>445</v>
      </c>
      <c r="S185" s="143">
        <v>664</v>
      </c>
      <c r="T185" s="147">
        <v>84</v>
      </c>
      <c r="U185" s="151">
        <v>14</v>
      </c>
      <c r="V185" s="148">
        <f aca="true" t="shared" si="24" ref="V185:V190">SUM(L185+Q185+R185-T185-U185)</f>
        <v>417</v>
      </c>
      <c r="W185" s="152">
        <f aca="true" t="shared" si="25" ref="W185:W190">SUM(M185+Q185+S185-T185-U185)</f>
        <v>698</v>
      </c>
      <c r="X185" s="140">
        <v>12</v>
      </c>
      <c r="Y185" s="138">
        <v>12</v>
      </c>
      <c r="Z185" s="138">
        <v>35</v>
      </c>
      <c r="AA185" s="143">
        <v>35</v>
      </c>
    </row>
    <row r="186" spans="2:27" ht="15" customHeight="1">
      <c r="B186" s="97" t="s">
        <v>28</v>
      </c>
      <c r="C186" s="20"/>
      <c r="D186" s="20"/>
      <c r="E186" s="21">
        <v>166</v>
      </c>
      <c r="F186" s="140">
        <v>66</v>
      </c>
      <c r="G186" s="141">
        <v>122</v>
      </c>
      <c r="H186" s="140">
        <v>28</v>
      </c>
      <c r="I186" s="138">
        <v>50</v>
      </c>
      <c r="J186" s="138">
        <v>1</v>
      </c>
      <c r="K186" s="138">
        <v>7</v>
      </c>
      <c r="L186" s="71">
        <f t="shared" si="22"/>
        <v>29</v>
      </c>
      <c r="M186" s="88">
        <f t="shared" si="23"/>
        <v>57</v>
      </c>
      <c r="N186" s="142">
        <v>10</v>
      </c>
      <c r="O186" s="138"/>
      <c r="P186" s="138">
        <v>70</v>
      </c>
      <c r="Q186" s="141">
        <v>80</v>
      </c>
      <c r="R186" s="140">
        <v>544</v>
      </c>
      <c r="S186" s="143">
        <v>672</v>
      </c>
      <c r="T186" s="147">
        <v>152</v>
      </c>
      <c r="U186" s="151">
        <v>34</v>
      </c>
      <c r="V186" s="148">
        <f t="shared" si="24"/>
        <v>467</v>
      </c>
      <c r="W186" s="152">
        <f t="shared" si="25"/>
        <v>623</v>
      </c>
      <c r="X186" s="140">
        <v>7</v>
      </c>
      <c r="Y186" s="138">
        <v>7</v>
      </c>
      <c r="Z186" s="138">
        <v>24</v>
      </c>
      <c r="AA186" s="143">
        <v>24</v>
      </c>
    </row>
    <row r="187" spans="2:27" ht="15" customHeight="1">
      <c r="B187" s="97" t="s">
        <v>29</v>
      </c>
      <c r="C187" s="20"/>
      <c r="D187" s="20"/>
      <c r="E187" s="22">
        <v>167</v>
      </c>
      <c r="F187" s="140">
        <v>26</v>
      </c>
      <c r="G187" s="141">
        <v>37</v>
      </c>
      <c r="H187" s="140">
        <v>6</v>
      </c>
      <c r="I187" s="138">
        <v>12</v>
      </c>
      <c r="J187" s="138"/>
      <c r="K187" s="138"/>
      <c r="L187" s="71">
        <f t="shared" si="22"/>
        <v>6</v>
      </c>
      <c r="M187" s="88">
        <f t="shared" si="23"/>
        <v>12</v>
      </c>
      <c r="N187" s="142">
        <v>12</v>
      </c>
      <c r="O187" s="138"/>
      <c r="P187" s="138">
        <v>6</v>
      </c>
      <c r="Q187" s="141">
        <v>18</v>
      </c>
      <c r="R187" s="140">
        <v>189</v>
      </c>
      <c r="S187" s="143">
        <v>225</v>
      </c>
      <c r="T187" s="147">
        <v>43</v>
      </c>
      <c r="U187" s="151">
        <v>4</v>
      </c>
      <c r="V187" s="148">
        <f t="shared" si="24"/>
        <v>166</v>
      </c>
      <c r="W187" s="152">
        <f t="shared" si="25"/>
        <v>208</v>
      </c>
      <c r="X187" s="140">
        <v>1</v>
      </c>
      <c r="Y187" s="138">
        <v>1</v>
      </c>
      <c r="Z187" s="138">
        <v>10</v>
      </c>
      <c r="AA187" s="143">
        <v>10</v>
      </c>
    </row>
    <row r="188" spans="2:27" ht="15" customHeight="1">
      <c r="B188" s="97" t="s">
        <v>30</v>
      </c>
      <c r="C188" s="20">
        <v>1</v>
      </c>
      <c r="D188" s="20" t="s">
        <v>52</v>
      </c>
      <c r="E188" s="22">
        <v>168</v>
      </c>
      <c r="F188" s="140">
        <v>19</v>
      </c>
      <c r="G188" s="141">
        <v>31</v>
      </c>
      <c r="H188" s="140">
        <v>2</v>
      </c>
      <c r="I188" s="138">
        <v>6</v>
      </c>
      <c r="J188" s="138"/>
      <c r="K188" s="138">
        <v>3</v>
      </c>
      <c r="L188" s="71">
        <f t="shared" si="22"/>
        <v>2</v>
      </c>
      <c r="M188" s="88">
        <f t="shared" si="23"/>
        <v>9</v>
      </c>
      <c r="N188" s="142">
        <v>7</v>
      </c>
      <c r="O188" s="138"/>
      <c r="P188" s="138">
        <v>17</v>
      </c>
      <c r="Q188" s="141">
        <v>25</v>
      </c>
      <c r="R188" s="140">
        <v>168</v>
      </c>
      <c r="S188" s="143">
        <v>227</v>
      </c>
      <c r="T188" s="147">
        <v>42</v>
      </c>
      <c r="U188" s="151">
        <v>13</v>
      </c>
      <c r="V188" s="148">
        <f t="shared" si="24"/>
        <v>140</v>
      </c>
      <c r="W188" s="152">
        <f t="shared" si="25"/>
        <v>206</v>
      </c>
      <c r="X188" s="140">
        <v>1</v>
      </c>
      <c r="Y188" s="138">
        <v>1</v>
      </c>
      <c r="Z188" s="138">
        <v>8</v>
      </c>
      <c r="AA188" s="143">
        <v>10</v>
      </c>
    </row>
    <row r="189" spans="2:27" ht="15" customHeight="1">
      <c r="B189" s="97" t="s">
        <v>31</v>
      </c>
      <c r="C189" s="20">
        <v>1</v>
      </c>
      <c r="D189" s="20" t="s">
        <v>47</v>
      </c>
      <c r="E189" s="21">
        <v>169</v>
      </c>
      <c r="F189" s="140">
        <v>30</v>
      </c>
      <c r="G189" s="141">
        <v>48</v>
      </c>
      <c r="H189" s="140">
        <v>9</v>
      </c>
      <c r="I189" s="138">
        <v>14</v>
      </c>
      <c r="J189" s="138"/>
      <c r="K189" s="138">
        <v>2</v>
      </c>
      <c r="L189" s="71">
        <f t="shared" si="22"/>
        <v>9</v>
      </c>
      <c r="M189" s="88">
        <f t="shared" si="23"/>
        <v>16</v>
      </c>
      <c r="N189" s="142"/>
      <c r="O189" s="138"/>
      <c r="P189" s="138">
        <v>7</v>
      </c>
      <c r="Q189" s="141">
        <v>7</v>
      </c>
      <c r="R189" s="140">
        <v>150</v>
      </c>
      <c r="S189" s="143">
        <v>227</v>
      </c>
      <c r="T189" s="147">
        <v>31</v>
      </c>
      <c r="U189" s="151">
        <v>9</v>
      </c>
      <c r="V189" s="148">
        <f t="shared" si="24"/>
        <v>126</v>
      </c>
      <c r="W189" s="152">
        <f t="shared" si="25"/>
        <v>210</v>
      </c>
      <c r="X189" s="140">
        <v>1</v>
      </c>
      <c r="Y189" s="138">
        <v>1</v>
      </c>
      <c r="Z189" s="138">
        <v>6</v>
      </c>
      <c r="AA189" s="143">
        <v>6</v>
      </c>
    </row>
    <row r="190" spans="2:27" ht="15" customHeight="1">
      <c r="B190" s="98" t="s">
        <v>32</v>
      </c>
      <c r="C190" s="22"/>
      <c r="D190" s="22"/>
      <c r="E190" s="22"/>
      <c r="F190" s="140">
        <v>2</v>
      </c>
      <c r="G190" s="141">
        <v>2</v>
      </c>
      <c r="H190" s="140"/>
      <c r="I190" s="138"/>
      <c r="J190" s="138"/>
      <c r="K190" s="138"/>
      <c r="L190" s="71">
        <f t="shared" si="22"/>
        <v>0</v>
      </c>
      <c r="M190" s="88">
        <f t="shared" si="23"/>
        <v>0</v>
      </c>
      <c r="N190" s="142"/>
      <c r="O190" s="138"/>
      <c r="P190" s="138">
        <v>1</v>
      </c>
      <c r="Q190" s="141">
        <v>1</v>
      </c>
      <c r="R190" s="140">
        <v>484</v>
      </c>
      <c r="S190" s="143">
        <v>485</v>
      </c>
      <c r="T190" s="147">
        <v>5</v>
      </c>
      <c r="U190" s="151">
        <v>1</v>
      </c>
      <c r="V190" s="148">
        <f t="shared" si="24"/>
        <v>479</v>
      </c>
      <c r="W190" s="152">
        <f t="shared" si="25"/>
        <v>480</v>
      </c>
      <c r="X190" s="140"/>
      <c r="Y190" s="138"/>
      <c r="Z190" s="138">
        <v>1</v>
      </c>
      <c r="AA190" s="143">
        <v>1</v>
      </c>
    </row>
    <row r="191" spans="2:27" ht="15" customHeight="1" thickBot="1">
      <c r="B191" s="99" t="s">
        <v>33</v>
      </c>
      <c r="C191" s="36"/>
      <c r="D191" s="36"/>
      <c r="E191" s="36"/>
      <c r="F191" s="160">
        <v>77961</v>
      </c>
      <c r="G191" s="161">
        <v>151733</v>
      </c>
      <c r="H191" s="160">
        <v>24168</v>
      </c>
      <c r="I191" s="162">
        <v>55953</v>
      </c>
      <c r="J191" s="162">
        <v>1253</v>
      </c>
      <c r="K191" s="162">
        <v>4888</v>
      </c>
      <c r="L191" s="162">
        <v>25421</v>
      </c>
      <c r="M191" s="163">
        <v>60841</v>
      </c>
      <c r="N191" s="164">
        <v>6566</v>
      </c>
      <c r="O191" s="162">
        <v>134</v>
      </c>
      <c r="P191" s="162">
        <v>16251</v>
      </c>
      <c r="Q191" s="161">
        <v>22952</v>
      </c>
      <c r="R191" s="160">
        <v>204591</v>
      </c>
      <c r="S191" s="163">
        <v>293291</v>
      </c>
      <c r="T191" s="165">
        <v>44128</v>
      </c>
      <c r="U191" s="166">
        <v>7167</v>
      </c>
      <c r="V191" s="164">
        <v>201669</v>
      </c>
      <c r="W191" s="161">
        <v>325789</v>
      </c>
      <c r="X191" s="160">
        <v>4083</v>
      </c>
      <c r="Y191" s="162">
        <v>4179</v>
      </c>
      <c r="Z191" s="162">
        <v>20392</v>
      </c>
      <c r="AA191" s="163">
        <v>20403</v>
      </c>
    </row>
    <row r="192" ht="15" customHeight="1">
      <c r="B192" s="1" t="s">
        <v>236</v>
      </c>
    </row>
  </sheetData>
  <mergeCells count="10">
    <mergeCell ref="B8:N8"/>
    <mergeCell ref="B18:E18"/>
    <mergeCell ref="B19:E19"/>
    <mergeCell ref="B15:E15"/>
    <mergeCell ref="B16:E16"/>
    <mergeCell ref="B9:E10"/>
    <mergeCell ref="B17:E17"/>
    <mergeCell ref="B12:E12"/>
    <mergeCell ref="B13:E13"/>
    <mergeCell ref="B14:E1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191"/>
  <sheetViews>
    <sheetView zoomScale="50" zoomScaleNormal="50" workbookViewId="0" topLeftCell="A1">
      <selection activeCell="B28" sqref="B28"/>
    </sheetView>
  </sheetViews>
  <sheetFormatPr defaultColWidth="9.00390625" defaultRowHeight="15" customHeight="1"/>
  <cols>
    <col min="1" max="16384" width="12.75390625" style="0" customWidth="1"/>
  </cols>
  <sheetData>
    <row r="2" ht="15" customHeight="1">
      <c r="H2" s="1"/>
    </row>
    <row r="3" ht="15" customHeight="1">
      <c r="H3" s="1"/>
    </row>
    <row r="4" ht="15" customHeight="1">
      <c r="H4" s="1"/>
    </row>
    <row r="5" spans="6:27" ht="15" customHeight="1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55"/>
      <c r="T5" s="55"/>
      <c r="U5" s="55"/>
      <c r="V5" s="55"/>
      <c r="W5" s="55"/>
      <c r="X5" s="55"/>
      <c r="Y5" s="55"/>
      <c r="Z5" s="55"/>
      <c r="AA5" s="55"/>
    </row>
    <row r="6" spans="6:27" ht="15" customHeight="1" thickBot="1"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1"/>
      <c r="S6" s="55"/>
      <c r="T6" s="55"/>
      <c r="U6" s="55"/>
      <c r="V6" s="55"/>
      <c r="W6" s="55"/>
      <c r="X6" s="55"/>
      <c r="Y6" s="55"/>
      <c r="Z6" s="55"/>
      <c r="AA6" s="55"/>
    </row>
    <row r="7" spans="2:27" ht="45" customHeight="1" thickBot="1">
      <c r="B7" s="208" t="s">
        <v>101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1"/>
      <c r="P7" s="1"/>
      <c r="Q7" s="1"/>
      <c r="R7" s="1"/>
      <c r="S7" s="1"/>
      <c r="T7" s="1"/>
      <c r="U7" s="1"/>
      <c r="V7" s="55"/>
      <c r="W7" s="55"/>
      <c r="X7" s="1"/>
      <c r="Y7" s="1"/>
      <c r="Z7" s="1"/>
      <c r="AA7" s="1"/>
    </row>
    <row r="8" spans="2:27" ht="15" customHeight="1">
      <c r="B8" s="193" t="s">
        <v>199</v>
      </c>
      <c r="C8" s="194"/>
      <c r="D8" s="194"/>
      <c r="E8" s="195"/>
      <c r="F8" s="9" t="s">
        <v>180</v>
      </c>
      <c r="G8" s="10"/>
      <c r="H8" s="9" t="s">
        <v>186</v>
      </c>
      <c r="I8" s="10"/>
      <c r="J8" s="10"/>
      <c r="K8" s="10"/>
      <c r="L8" s="10"/>
      <c r="M8" s="11"/>
      <c r="N8" s="10" t="s">
        <v>181</v>
      </c>
      <c r="O8" s="10"/>
      <c r="P8" s="10"/>
      <c r="Q8" s="10"/>
      <c r="R8" s="9" t="s">
        <v>182</v>
      </c>
      <c r="S8" s="11"/>
      <c r="T8" s="139" t="s">
        <v>192</v>
      </c>
      <c r="U8" s="149" t="s">
        <v>194</v>
      </c>
      <c r="V8" s="10" t="s">
        <v>184</v>
      </c>
      <c r="W8" s="10"/>
      <c r="X8" s="9" t="s">
        <v>193</v>
      </c>
      <c r="Y8" s="10"/>
      <c r="Z8" s="10"/>
      <c r="AA8" s="11"/>
    </row>
    <row r="9" spans="2:27" ht="15" customHeight="1">
      <c r="B9" s="196"/>
      <c r="C9" s="197"/>
      <c r="D9" s="197"/>
      <c r="E9" s="198"/>
      <c r="F9" s="110"/>
      <c r="G9" s="105"/>
      <c r="H9" s="68" t="s">
        <v>178</v>
      </c>
      <c r="I9" s="69"/>
      <c r="J9" s="69" t="s">
        <v>179</v>
      </c>
      <c r="K9" s="69"/>
      <c r="L9" s="69" t="s">
        <v>177</v>
      </c>
      <c r="M9" s="70"/>
      <c r="N9" s="105"/>
      <c r="O9" s="105"/>
      <c r="P9" s="105"/>
      <c r="Q9" s="105"/>
      <c r="R9" s="110"/>
      <c r="S9" s="144"/>
      <c r="T9" s="110"/>
      <c r="U9" s="112"/>
      <c r="V9" s="8" t="s">
        <v>183</v>
      </c>
      <c r="W9" s="8"/>
      <c r="X9" s="68" t="s">
        <v>187</v>
      </c>
      <c r="Y9" s="69"/>
      <c r="Z9" s="69" t="s">
        <v>188</v>
      </c>
      <c r="AA9" s="70"/>
    </row>
    <row r="10" spans="2:27" ht="15" customHeight="1" thickBot="1">
      <c r="B10" s="5"/>
      <c r="C10" s="6"/>
      <c r="D10" s="6"/>
      <c r="E10" s="7"/>
      <c r="F10" s="58" t="s">
        <v>172</v>
      </c>
      <c r="G10" s="113" t="s">
        <v>173</v>
      </c>
      <c r="H10" s="58" t="s">
        <v>172</v>
      </c>
      <c r="I10" s="60" t="s">
        <v>173</v>
      </c>
      <c r="J10" s="60" t="s">
        <v>172</v>
      </c>
      <c r="K10" s="60" t="s">
        <v>173</v>
      </c>
      <c r="L10" s="60" t="s">
        <v>172</v>
      </c>
      <c r="M10" s="59" t="s">
        <v>173</v>
      </c>
      <c r="N10" s="61" t="s">
        <v>174</v>
      </c>
      <c r="O10" s="60" t="s">
        <v>175</v>
      </c>
      <c r="P10" s="60" t="s">
        <v>176</v>
      </c>
      <c r="Q10" s="113" t="s">
        <v>177</v>
      </c>
      <c r="R10" s="58" t="s">
        <v>172</v>
      </c>
      <c r="S10" s="59" t="s">
        <v>173</v>
      </c>
      <c r="T10" s="157"/>
      <c r="U10" s="158"/>
      <c r="V10" s="61" t="s">
        <v>172</v>
      </c>
      <c r="W10" s="113" t="s">
        <v>173</v>
      </c>
      <c r="X10" s="58" t="s">
        <v>172</v>
      </c>
      <c r="Y10" s="60" t="s">
        <v>173</v>
      </c>
      <c r="Z10" s="60" t="s">
        <v>172</v>
      </c>
      <c r="AA10" s="59" t="s">
        <v>173</v>
      </c>
    </row>
    <row r="11" spans="2:27" ht="15" customHeight="1">
      <c r="B11" s="205" t="s">
        <v>42</v>
      </c>
      <c r="C11" s="206"/>
      <c r="D11" s="206"/>
      <c r="E11" s="207"/>
      <c r="F11" s="115">
        <v>2281</v>
      </c>
      <c r="G11" s="114">
        <v>4222</v>
      </c>
      <c r="H11" s="115">
        <v>578</v>
      </c>
      <c r="I11" s="109">
        <v>1191</v>
      </c>
      <c r="J11" s="109">
        <v>29</v>
      </c>
      <c r="K11" s="109">
        <v>147</v>
      </c>
      <c r="L11" s="109">
        <v>607</v>
      </c>
      <c r="M11" s="153">
        <v>1338</v>
      </c>
      <c r="N11" s="154">
        <v>294</v>
      </c>
      <c r="O11" s="109">
        <v>9</v>
      </c>
      <c r="P11" s="109">
        <v>894</v>
      </c>
      <c r="Q11" s="114">
        <v>1212</v>
      </c>
      <c r="R11" s="115">
        <v>11633</v>
      </c>
      <c r="S11" s="153">
        <v>18168</v>
      </c>
      <c r="T11" s="155">
        <v>2492</v>
      </c>
      <c r="U11" s="156">
        <v>926</v>
      </c>
      <c r="V11" s="154">
        <v>10034</v>
      </c>
      <c r="W11" s="114">
        <v>17300</v>
      </c>
      <c r="X11" s="115">
        <v>100</v>
      </c>
      <c r="Y11" s="109">
        <v>103</v>
      </c>
      <c r="Z11" s="109">
        <v>734</v>
      </c>
      <c r="AA11" s="153">
        <v>735</v>
      </c>
    </row>
    <row r="12" spans="2:27" ht="15" customHeight="1">
      <c r="B12" s="199" t="s">
        <v>200</v>
      </c>
      <c r="C12" s="200"/>
      <c r="D12" s="200"/>
      <c r="E12" s="201"/>
      <c r="F12" s="77">
        <v>78686</v>
      </c>
      <c r="G12" s="80">
        <v>152806</v>
      </c>
      <c r="H12" s="77">
        <v>22048</v>
      </c>
      <c r="I12" s="75">
        <v>49793</v>
      </c>
      <c r="J12" s="75">
        <v>1284</v>
      </c>
      <c r="K12" s="75">
        <v>4875</v>
      </c>
      <c r="L12" s="75">
        <v>23332</v>
      </c>
      <c r="M12" s="86">
        <v>54668</v>
      </c>
      <c r="N12" s="83">
        <v>5808</v>
      </c>
      <c r="O12" s="75">
        <v>119</v>
      </c>
      <c r="P12" s="75">
        <v>14029</v>
      </c>
      <c r="Q12" s="80">
        <v>19942</v>
      </c>
      <c r="R12" s="77">
        <v>209516</v>
      </c>
      <c r="S12" s="86">
        <v>317201</v>
      </c>
      <c r="T12" s="145">
        <v>42665</v>
      </c>
      <c r="U12" s="122">
        <v>10948</v>
      </c>
      <c r="V12" s="83">
        <v>199177</v>
      </c>
      <c r="W12" s="80">
        <v>338198</v>
      </c>
      <c r="X12" s="77">
        <v>4132</v>
      </c>
      <c r="Y12" s="75">
        <v>4223</v>
      </c>
      <c r="Z12" s="75">
        <v>21621</v>
      </c>
      <c r="AA12" s="86">
        <v>21629</v>
      </c>
    </row>
    <row r="13" spans="2:27" ht="15" customHeight="1">
      <c r="B13" s="199" t="s">
        <v>201</v>
      </c>
      <c r="C13" s="200"/>
      <c r="D13" s="200"/>
      <c r="E13" s="201"/>
      <c r="F13" s="77">
        <v>59156</v>
      </c>
      <c r="G13" s="80">
        <v>117433</v>
      </c>
      <c r="H13" s="77">
        <v>16858</v>
      </c>
      <c r="I13" s="75">
        <v>38810</v>
      </c>
      <c r="J13" s="75">
        <v>947</v>
      </c>
      <c r="K13" s="75">
        <v>3666</v>
      </c>
      <c r="L13" s="75">
        <v>17805</v>
      </c>
      <c r="M13" s="86">
        <v>42476</v>
      </c>
      <c r="N13" s="83">
        <v>4047</v>
      </c>
      <c r="O13" s="75">
        <v>52</v>
      </c>
      <c r="P13" s="75">
        <v>8939</v>
      </c>
      <c r="Q13" s="80">
        <v>13048</v>
      </c>
      <c r="R13" s="77">
        <v>126734</v>
      </c>
      <c r="S13" s="86">
        <v>197896</v>
      </c>
      <c r="T13" s="145">
        <v>24159</v>
      </c>
      <c r="U13" s="122">
        <v>5072</v>
      </c>
      <c r="V13" s="83">
        <v>128356</v>
      </c>
      <c r="W13" s="80">
        <v>224189</v>
      </c>
      <c r="X13" s="77">
        <v>2932</v>
      </c>
      <c r="Y13" s="75">
        <v>2991</v>
      </c>
      <c r="Z13" s="75">
        <v>16305</v>
      </c>
      <c r="AA13" s="86">
        <v>16312</v>
      </c>
    </row>
    <row r="14" spans="2:27" ht="15" customHeight="1">
      <c r="B14" s="199" t="s">
        <v>202</v>
      </c>
      <c r="C14" s="200"/>
      <c r="D14" s="200"/>
      <c r="E14" s="201"/>
      <c r="F14" s="77">
        <v>19530</v>
      </c>
      <c r="G14" s="80">
        <v>35373</v>
      </c>
      <c r="H14" s="77">
        <v>5190</v>
      </c>
      <c r="I14" s="75">
        <v>10983</v>
      </c>
      <c r="J14" s="75">
        <v>337</v>
      </c>
      <c r="K14" s="75">
        <v>1209</v>
      </c>
      <c r="L14" s="75">
        <v>5527</v>
      </c>
      <c r="M14" s="86">
        <v>12192</v>
      </c>
      <c r="N14" s="83">
        <v>1761</v>
      </c>
      <c r="O14" s="75">
        <v>67</v>
      </c>
      <c r="P14" s="75">
        <v>5090</v>
      </c>
      <c r="Q14" s="80">
        <v>6894</v>
      </c>
      <c r="R14" s="77">
        <v>82782</v>
      </c>
      <c r="S14" s="86">
        <v>119305</v>
      </c>
      <c r="T14" s="145">
        <v>18506</v>
      </c>
      <c r="U14" s="122">
        <v>5876</v>
      </c>
      <c r="V14" s="83">
        <v>70821</v>
      </c>
      <c r="W14" s="80">
        <v>114009</v>
      </c>
      <c r="X14" s="77">
        <v>1200</v>
      </c>
      <c r="Y14" s="75">
        <v>1232</v>
      </c>
      <c r="Z14" s="75">
        <v>5316</v>
      </c>
      <c r="AA14" s="86">
        <v>5317</v>
      </c>
    </row>
    <row r="15" spans="2:27" ht="15" customHeight="1">
      <c r="B15" s="199" t="s">
        <v>43</v>
      </c>
      <c r="C15" s="200"/>
      <c r="D15" s="200"/>
      <c r="E15" s="201"/>
      <c r="F15" s="77">
        <v>1319</v>
      </c>
      <c r="G15" s="80">
        <v>2481</v>
      </c>
      <c r="H15" s="77">
        <v>343</v>
      </c>
      <c r="I15" s="75">
        <v>686</v>
      </c>
      <c r="J15" s="75">
        <v>18</v>
      </c>
      <c r="K15" s="75">
        <v>94</v>
      </c>
      <c r="L15" s="75">
        <v>361</v>
      </c>
      <c r="M15" s="86">
        <v>780</v>
      </c>
      <c r="N15" s="83">
        <v>133</v>
      </c>
      <c r="O15" s="75">
        <v>7</v>
      </c>
      <c r="P15" s="75">
        <v>410</v>
      </c>
      <c r="Q15" s="80">
        <v>560</v>
      </c>
      <c r="R15" s="77">
        <v>6016</v>
      </c>
      <c r="S15" s="86">
        <v>9500</v>
      </c>
      <c r="T15" s="145">
        <v>1339</v>
      </c>
      <c r="U15" s="122">
        <v>415</v>
      </c>
      <c r="V15" s="83">
        <v>5183</v>
      </c>
      <c r="W15" s="80">
        <v>9086</v>
      </c>
      <c r="X15" s="77">
        <v>52</v>
      </c>
      <c r="Y15" s="75">
        <v>53</v>
      </c>
      <c r="Z15" s="75">
        <v>367</v>
      </c>
      <c r="AA15" s="86">
        <v>367</v>
      </c>
    </row>
    <row r="16" spans="2:27" ht="15" customHeight="1">
      <c r="B16" s="199" t="s">
        <v>44</v>
      </c>
      <c r="C16" s="200"/>
      <c r="D16" s="200"/>
      <c r="E16" s="201"/>
      <c r="F16" s="77">
        <v>761</v>
      </c>
      <c r="G16" s="80">
        <v>1403</v>
      </c>
      <c r="H16" s="77">
        <v>191</v>
      </c>
      <c r="I16" s="75">
        <v>413</v>
      </c>
      <c r="J16" s="75">
        <v>10</v>
      </c>
      <c r="K16" s="75">
        <v>45</v>
      </c>
      <c r="L16" s="75">
        <v>201</v>
      </c>
      <c r="M16" s="86">
        <v>458</v>
      </c>
      <c r="N16" s="83">
        <v>102</v>
      </c>
      <c r="O16" s="75">
        <v>2</v>
      </c>
      <c r="P16" s="75">
        <v>300</v>
      </c>
      <c r="Q16" s="80">
        <v>408</v>
      </c>
      <c r="R16" s="77">
        <v>4313</v>
      </c>
      <c r="S16" s="86">
        <v>6802</v>
      </c>
      <c r="T16" s="145">
        <v>842</v>
      </c>
      <c r="U16" s="122">
        <v>376</v>
      </c>
      <c r="V16" s="83">
        <v>3704</v>
      </c>
      <c r="W16" s="80">
        <v>6450</v>
      </c>
      <c r="X16" s="77">
        <v>37</v>
      </c>
      <c r="Y16" s="75">
        <v>39</v>
      </c>
      <c r="Z16" s="75">
        <v>299</v>
      </c>
      <c r="AA16" s="86">
        <v>300</v>
      </c>
    </row>
    <row r="17" spans="2:27" ht="15" customHeight="1">
      <c r="B17" s="199" t="s">
        <v>45</v>
      </c>
      <c r="C17" s="200"/>
      <c r="D17" s="200"/>
      <c r="E17" s="201"/>
      <c r="F17" s="77">
        <v>201</v>
      </c>
      <c r="G17" s="80">
        <v>338</v>
      </c>
      <c r="H17" s="77">
        <v>44</v>
      </c>
      <c r="I17" s="75">
        <v>92</v>
      </c>
      <c r="J17" s="75">
        <v>1</v>
      </c>
      <c r="K17" s="75">
        <v>8</v>
      </c>
      <c r="L17" s="75">
        <v>45</v>
      </c>
      <c r="M17" s="86">
        <v>100</v>
      </c>
      <c r="N17" s="83">
        <v>59</v>
      </c>
      <c r="O17" s="75">
        <v>0</v>
      </c>
      <c r="P17" s="75">
        <v>184</v>
      </c>
      <c r="Q17" s="80">
        <v>244</v>
      </c>
      <c r="R17" s="77">
        <v>1304</v>
      </c>
      <c r="S17" s="86">
        <v>1866</v>
      </c>
      <c r="T17" s="145">
        <v>311</v>
      </c>
      <c r="U17" s="122">
        <v>135</v>
      </c>
      <c r="V17" s="83">
        <v>1147</v>
      </c>
      <c r="W17" s="80">
        <v>1764</v>
      </c>
      <c r="X17" s="77">
        <v>11</v>
      </c>
      <c r="Y17" s="75">
        <v>11</v>
      </c>
      <c r="Z17" s="75">
        <v>68</v>
      </c>
      <c r="AA17" s="86">
        <v>68</v>
      </c>
    </row>
    <row r="18" spans="2:27" ht="15" customHeight="1" thickBot="1">
      <c r="B18" s="202" t="s">
        <v>46</v>
      </c>
      <c r="C18" s="203"/>
      <c r="D18" s="203"/>
      <c r="E18" s="204"/>
      <c r="F18" s="77">
        <v>80967</v>
      </c>
      <c r="G18" s="80">
        <v>157028</v>
      </c>
      <c r="H18" s="77">
        <v>22626</v>
      </c>
      <c r="I18" s="75">
        <v>50984</v>
      </c>
      <c r="J18" s="75">
        <v>1313</v>
      </c>
      <c r="K18" s="75">
        <v>5022</v>
      </c>
      <c r="L18" s="75">
        <v>23939</v>
      </c>
      <c r="M18" s="86">
        <v>56006</v>
      </c>
      <c r="N18" s="83">
        <v>6102</v>
      </c>
      <c r="O18" s="75">
        <v>128</v>
      </c>
      <c r="P18" s="75">
        <v>14923</v>
      </c>
      <c r="Q18" s="80">
        <v>21154</v>
      </c>
      <c r="R18" s="77">
        <v>221149</v>
      </c>
      <c r="S18" s="86">
        <v>335369</v>
      </c>
      <c r="T18" s="145">
        <v>45157</v>
      </c>
      <c r="U18" s="122">
        <v>11874</v>
      </c>
      <c r="V18" s="83">
        <v>209211</v>
      </c>
      <c r="W18" s="80">
        <v>355498</v>
      </c>
      <c r="X18" s="77">
        <v>4232</v>
      </c>
      <c r="Y18" s="75">
        <v>4326</v>
      </c>
      <c r="Z18" s="75">
        <v>22355</v>
      </c>
      <c r="AA18" s="86">
        <v>22364</v>
      </c>
    </row>
    <row r="19" spans="2:27" ht="15" customHeight="1" thickBot="1">
      <c r="B19" s="13" t="s">
        <v>203</v>
      </c>
      <c r="C19" s="13" t="s">
        <v>196</v>
      </c>
      <c r="D19" s="13" t="s">
        <v>197</v>
      </c>
      <c r="E19" s="73" t="s">
        <v>198</v>
      </c>
      <c r="F19" s="78"/>
      <c r="G19" s="81"/>
      <c r="H19" s="78"/>
      <c r="I19" s="76"/>
      <c r="J19" s="76"/>
      <c r="K19" s="76"/>
      <c r="L19" s="76"/>
      <c r="M19" s="87"/>
      <c r="N19" s="84"/>
      <c r="O19" s="76"/>
      <c r="P19" s="76"/>
      <c r="Q19" s="81"/>
      <c r="R19" s="78"/>
      <c r="S19" s="87"/>
      <c r="T19" s="146"/>
      <c r="U19" s="150"/>
      <c r="V19" s="84"/>
      <c r="W19" s="81"/>
      <c r="X19" s="78"/>
      <c r="Y19" s="76"/>
      <c r="Z19" s="76"/>
      <c r="AA19" s="87"/>
    </row>
    <row r="20" spans="2:27" ht="15" customHeight="1">
      <c r="B20" s="94" t="s">
        <v>48</v>
      </c>
      <c r="C20" s="95">
        <v>1</v>
      </c>
      <c r="D20" s="95" t="s">
        <v>47</v>
      </c>
      <c r="E20" s="106">
        <v>1</v>
      </c>
      <c r="F20" s="140">
        <v>6</v>
      </c>
      <c r="G20" s="141">
        <v>10</v>
      </c>
      <c r="H20" s="140">
        <v>4</v>
      </c>
      <c r="I20" s="138">
        <v>7</v>
      </c>
      <c r="J20" s="138"/>
      <c r="K20" s="138"/>
      <c r="L20" s="71">
        <f aca="true" t="shared" si="0" ref="L20:L51">SUM(H20,J20)</f>
        <v>4</v>
      </c>
      <c r="M20" s="88">
        <f aca="true" t="shared" si="1" ref="M20:M51">SUM(I20,K20)</f>
        <v>7</v>
      </c>
      <c r="N20" s="142">
        <v>2</v>
      </c>
      <c r="O20" s="138"/>
      <c r="P20" s="138">
        <v>9</v>
      </c>
      <c r="Q20" s="141">
        <v>11</v>
      </c>
      <c r="R20" s="140">
        <v>72</v>
      </c>
      <c r="S20" s="143">
        <v>104</v>
      </c>
      <c r="T20" s="147">
        <v>18</v>
      </c>
      <c r="U20" s="151">
        <v>7</v>
      </c>
      <c r="V20" s="148">
        <f aca="true" t="shared" si="2" ref="V20:V51">SUM(L20+Q20+R20-T20-U20)</f>
        <v>62</v>
      </c>
      <c r="W20" s="152">
        <f aca="true" t="shared" si="3" ref="W20:W51">SUM(M20+Q20+S20-T20-U20)</f>
        <v>97</v>
      </c>
      <c r="X20" s="140"/>
      <c r="Y20" s="138"/>
      <c r="Z20" s="138">
        <v>4</v>
      </c>
      <c r="AA20" s="143">
        <v>4</v>
      </c>
    </row>
    <row r="21" spans="2:27" ht="15" customHeight="1">
      <c r="B21" s="97" t="s">
        <v>49</v>
      </c>
      <c r="C21" s="20"/>
      <c r="D21" s="20"/>
      <c r="E21" s="33">
        <v>2</v>
      </c>
      <c r="F21" s="140">
        <v>631</v>
      </c>
      <c r="G21" s="141">
        <v>1259</v>
      </c>
      <c r="H21" s="140">
        <v>186</v>
      </c>
      <c r="I21" s="138">
        <v>424</v>
      </c>
      <c r="J21" s="138">
        <v>6</v>
      </c>
      <c r="K21" s="138">
        <v>28</v>
      </c>
      <c r="L21" s="71">
        <f t="shared" si="0"/>
        <v>192</v>
      </c>
      <c r="M21" s="88">
        <f t="shared" si="1"/>
        <v>452</v>
      </c>
      <c r="N21" s="142">
        <v>19</v>
      </c>
      <c r="O21" s="138"/>
      <c r="P21" s="138">
        <v>60</v>
      </c>
      <c r="Q21" s="141">
        <v>79</v>
      </c>
      <c r="R21" s="140">
        <v>1502</v>
      </c>
      <c r="S21" s="143">
        <v>2406</v>
      </c>
      <c r="T21" s="147">
        <v>253</v>
      </c>
      <c r="U21" s="151">
        <v>74</v>
      </c>
      <c r="V21" s="148">
        <f t="shared" si="2"/>
        <v>1446</v>
      </c>
      <c r="W21" s="152">
        <f t="shared" si="3"/>
        <v>2610</v>
      </c>
      <c r="X21" s="140">
        <v>39</v>
      </c>
      <c r="Y21" s="138">
        <v>39</v>
      </c>
      <c r="Z21" s="138">
        <v>152</v>
      </c>
      <c r="AA21" s="143">
        <v>152</v>
      </c>
    </row>
    <row r="22" spans="2:27" ht="15" customHeight="1">
      <c r="B22" s="97" t="s">
        <v>50</v>
      </c>
      <c r="C22" s="20">
        <v>1</v>
      </c>
      <c r="D22" s="20" t="s">
        <v>47</v>
      </c>
      <c r="E22" s="33">
        <v>3</v>
      </c>
      <c r="F22" s="140">
        <v>37</v>
      </c>
      <c r="G22" s="141">
        <v>75</v>
      </c>
      <c r="H22" s="140">
        <v>13</v>
      </c>
      <c r="I22" s="138">
        <v>26</v>
      </c>
      <c r="J22" s="138"/>
      <c r="K22" s="138"/>
      <c r="L22" s="71">
        <f t="shared" si="0"/>
        <v>13</v>
      </c>
      <c r="M22" s="88">
        <f t="shared" si="1"/>
        <v>26</v>
      </c>
      <c r="N22" s="142">
        <v>12</v>
      </c>
      <c r="O22" s="138">
        <v>0</v>
      </c>
      <c r="P22" s="138">
        <v>10</v>
      </c>
      <c r="Q22" s="141">
        <v>22</v>
      </c>
      <c r="R22" s="140">
        <v>166</v>
      </c>
      <c r="S22" s="143">
        <v>296</v>
      </c>
      <c r="T22" s="147">
        <v>24</v>
      </c>
      <c r="U22" s="151">
        <v>8</v>
      </c>
      <c r="V22" s="148">
        <f t="shared" si="2"/>
        <v>169</v>
      </c>
      <c r="W22" s="152">
        <f t="shared" si="3"/>
        <v>312</v>
      </c>
      <c r="X22" s="140">
        <v>1</v>
      </c>
      <c r="Y22" s="138">
        <v>1</v>
      </c>
      <c r="Z22" s="138">
        <v>7</v>
      </c>
      <c r="AA22" s="143">
        <v>7</v>
      </c>
    </row>
    <row r="23" spans="2:27" ht="15" customHeight="1">
      <c r="B23" s="97" t="s">
        <v>51</v>
      </c>
      <c r="C23" s="20"/>
      <c r="D23" s="20"/>
      <c r="E23" s="107">
        <v>4</v>
      </c>
      <c r="F23" s="140">
        <v>26</v>
      </c>
      <c r="G23" s="141">
        <v>42</v>
      </c>
      <c r="H23" s="140">
        <v>3</v>
      </c>
      <c r="I23" s="138">
        <v>5</v>
      </c>
      <c r="J23" s="138"/>
      <c r="K23" s="138"/>
      <c r="L23" s="71">
        <f t="shared" si="0"/>
        <v>3</v>
      </c>
      <c r="M23" s="88">
        <f t="shared" si="1"/>
        <v>5</v>
      </c>
      <c r="N23" s="142">
        <v>9</v>
      </c>
      <c r="O23" s="138"/>
      <c r="P23" s="138">
        <v>14</v>
      </c>
      <c r="Q23" s="141">
        <v>23</v>
      </c>
      <c r="R23" s="140">
        <v>289</v>
      </c>
      <c r="S23" s="143">
        <v>343</v>
      </c>
      <c r="T23" s="147">
        <v>67</v>
      </c>
      <c r="U23" s="151">
        <v>31</v>
      </c>
      <c r="V23" s="148">
        <f t="shared" si="2"/>
        <v>217</v>
      </c>
      <c r="W23" s="152">
        <f t="shared" si="3"/>
        <v>273</v>
      </c>
      <c r="X23" s="140">
        <v>3</v>
      </c>
      <c r="Y23" s="138">
        <v>3</v>
      </c>
      <c r="Z23" s="138">
        <v>19</v>
      </c>
      <c r="AA23" s="143">
        <v>19</v>
      </c>
    </row>
    <row r="24" spans="2:27" ht="15" customHeight="1">
      <c r="B24" s="97" t="s">
        <v>53</v>
      </c>
      <c r="C24" s="20">
        <v>1</v>
      </c>
      <c r="D24" s="20" t="s">
        <v>52</v>
      </c>
      <c r="E24" s="33">
        <v>5</v>
      </c>
      <c r="F24" s="140">
        <v>13</v>
      </c>
      <c r="G24" s="141">
        <v>36</v>
      </c>
      <c r="H24" s="140">
        <v>6</v>
      </c>
      <c r="I24" s="138">
        <v>14</v>
      </c>
      <c r="J24" s="138"/>
      <c r="K24" s="138"/>
      <c r="L24" s="71">
        <f t="shared" si="0"/>
        <v>6</v>
      </c>
      <c r="M24" s="88">
        <f t="shared" si="1"/>
        <v>14</v>
      </c>
      <c r="N24" s="142"/>
      <c r="O24" s="138">
        <v>0</v>
      </c>
      <c r="P24" s="138">
        <v>2</v>
      </c>
      <c r="Q24" s="141">
        <v>2</v>
      </c>
      <c r="R24" s="140">
        <v>83</v>
      </c>
      <c r="S24" s="143">
        <v>159</v>
      </c>
      <c r="T24" s="147">
        <v>9</v>
      </c>
      <c r="U24" s="151">
        <v>3</v>
      </c>
      <c r="V24" s="148">
        <f t="shared" si="2"/>
        <v>79</v>
      </c>
      <c r="W24" s="152">
        <f t="shared" si="3"/>
        <v>163</v>
      </c>
      <c r="X24" s="140">
        <v>1</v>
      </c>
      <c r="Y24" s="138">
        <v>1</v>
      </c>
      <c r="Z24" s="138">
        <v>4</v>
      </c>
      <c r="AA24" s="143">
        <v>4</v>
      </c>
    </row>
    <row r="25" spans="2:27" ht="15" customHeight="1">
      <c r="B25" s="97" t="s">
        <v>54</v>
      </c>
      <c r="C25" s="20">
        <v>1</v>
      </c>
      <c r="D25" s="20" t="s">
        <v>52</v>
      </c>
      <c r="E25" s="33">
        <v>6</v>
      </c>
      <c r="F25" s="140">
        <v>29</v>
      </c>
      <c r="G25" s="141">
        <v>49</v>
      </c>
      <c r="H25" s="140">
        <v>7</v>
      </c>
      <c r="I25" s="138">
        <v>12</v>
      </c>
      <c r="J25" s="138"/>
      <c r="K25" s="138"/>
      <c r="L25" s="71">
        <f t="shared" si="0"/>
        <v>7</v>
      </c>
      <c r="M25" s="88">
        <f t="shared" si="1"/>
        <v>12</v>
      </c>
      <c r="N25" s="142">
        <v>2</v>
      </c>
      <c r="O25" s="138"/>
      <c r="P25" s="138">
        <v>8</v>
      </c>
      <c r="Q25" s="141">
        <v>10</v>
      </c>
      <c r="R25" s="140">
        <v>152</v>
      </c>
      <c r="S25" s="143">
        <v>229</v>
      </c>
      <c r="T25" s="147">
        <v>29</v>
      </c>
      <c r="U25" s="151">
        <v>18</v>
      </c>
      <c r="V25" s="148">
        <f t="shared" si="2"/>
        <v>122</v>
      </c>
      <c r="W25" s="152">
        <f t="shared" si="3"/>
        <v>204</v>
      </c>
      <c r="X25" s="140">
        <v>1</v>
      </c>
      <c r="Y25" s="138">
        <v>1</v>
      </c>
      <c r="Z25" s="138">
        <v>12</v>
      </c>
      <c r="AA25" s="143">
        <v>12</v>
      </c>
    </row>
    <row r="26" spans="2:27" ht="15" customHeight="1">
      <c r="B26" s="97" t="s">
        <v>55</v>
      </c>
      <c r="C26" s="20"/>
      <c r="D26" s="20"/>
      <c r="E26" s="107">
        <v>7</v>
      </c>
      <c r="F26" s="140">
        <v>85</v>
      </c>
      <c r="G26" s="141">
        <v>117</v>
      </c>
      <c r="H26" s="140">
        <v>20</v>
      </c>
      <c r="I26" s="138">
        <v>37</v>
      </c>
      <c r="J26" s="138">
        <v>1</v>
      </c>
      <c r="K26" s="138">
        <v>4</v>
      </c>
      <c r="L26" s="71">
        <f t="shared" si="0"/>
        <v>21</v>
      </c>
      <c r="M26" s="88">
        <f t="shared" si="1"/>
        <v>41</v>
      </c>
      <c r="N26" s="142">
        <v>31</v>
      </c>
      <c r="O26" s="138"/>
      <c r="P26" s="138">
        <v>42</v>
      </c>
      <c r="Q26" s="141">
        <v>74</v>
      </c>
      <c r="R26" s="140">
        <v>433</v>
      </c>
      <c r="S26" s="143">
        <v>620</v>
      </c>
      <c r="T26" s="147">
        <v>110</v>
      </c>
      <c r="U26" s="151">
        <v>35</v>
      </c>
      <c r="V26" s="148">
        <f t="shared" si="2"/>
        <v>383</v>
      </c>
      <c r="W26" s="152">
        <f t="shared" si="3"/>
        <v>590</v>
      </c>
      <c r="X26" s="140">
        <v>10</v>
      </c>
      <c r="Y26" s="138">
        <v>10</v>
      </c>
      <c r="Z26" s="138">
        <v>37</v>
      </c>
      <c r="AA26" s="143">
        <v>37</v>
      </c>
    </row>
    <row r="27" spans="2:27" ht="15" customHeight="1">
      <c r="B27" s="97" t="s">
        <v>56</v>
      </c>
      <c r="C27" s="20">
        <v>1</v>
      </c>
      <c r="D27" s="20" t="s">
        <v>52</v>
      </c>
      <c r="E27" s="33">
        <v>8</v>
      </c>
      <c r="F27" s="140">
        <v>12</v>
      </c>
      <c r="G27" s="141">
        <v>25</v>
      </c>
      <c r="H27" s="140">
        <v>4</v>
      </c>
      <c r="I27" s="138">
        <v>9</v>
      </c>
      <c r="J27" s="138"/>
      <c r="K27" s="138"/>
      <c r="L27" s="71">
        <f t="shared" si="0"/>
        <v>4</v>
      </c>
      <c r="M27" s="88">
        <f t="shared" si="1"/>
        <v>9</v>
      </c>
      <c r="N27" s="142">
        <v>1</v>
      </c>
      <c r="O27" s="138"/>
      <c r="P27" s="138">
        <v>8</v>
      </c>
      <c r="Q27" s="141">
        <v>9</v>
      </c>
      <c r="R27" s="140">
        <v>79</v>
      </c>
      <c r="S27" s="143">
        <v>125</v>
      </c>
      <c r="T27" s="147">
        <v>12</v>
      </c>
      <c r="U27" s="151">
        <v>2</v>
      </c>
      <c r="V27" s="148">
        <f t="shared" si="2"/>
        <v>78</v>
      </c>
      <c r="W27" s="152">
        <f t="shared" si="3"/>
        <v>129</v>
      </c>
      <c r="X27" s="140">
        <v>1</v>
      </c>
      <c r="Y27" s="138">
        <v>3</v>
      </c>
      <c r="Z27" s="138">
        <v>6</v>
      </c>
      <c r="AA27" s="143">
        <v>6</v>
      </c>
    </row>
    <row r="28" spans="2:27" ht="15" customHeight="1">
      <c r="B28" s="97" t="s">
        <v>57</v>
      </c>
      <c r="C28" s="20"/>
      <c r="D28" s="20"/>
      <c r="E28" s="33">
        <v>9</v>
      </c>
      <c r="F28" s="140">
        <v>92</v>
      </c>
      <c r="G28" s="141">
        <v>134</v>
      </c>
      <c r="H28" s="140">
        <v>20</v>
      </c>
      <c r="I28" s="138">
        <v>37</v>
      </c>
      <c r="J28" s="138"/>
      <c r="K28" s="138">
        <v>1</v>
      </c>
      <c r="L28" s="71">
        <f t="shared" si="0"/>
        <v>20</v>
      </c>
      <c r="M28" s="88">
        <f t="shared" si="1"/>
        <v>38</v>
      </c>
      <c r="N28" s="142">
        <v>14</v>
      </c>
      <c r="O28" s="138"/>
      <c r="P28" s="138">
        <v>17</v>
      </c>
      <c r="Q28" s="141">
        <v>31</v>
      </c>
      <c r="R28" s="140">
        <v>598</v>
      </c>
      <c r="S28" s="143">
        <v>841</v>
      </c>
      <c r="T28" s="147">
        <v>124</v>
      </c>
      <c r="U28" s="151">
        <v>40</v>
      </c>
      <c r="V28" s="148">
        <f t="shared" si="2"/>
        <v>485</v>
      </c>
      <c r="W28" s="152">
        <f t="shared" si="3"/>
        <v>746</v>
      </c>
      <c r="X28" s="140">
        <v>7</v>
      </c>
      <c r="Y28" s="138">
        <v>7</v>
      </c>
      <c r="Z28" s="138">
        <v>30</v>
      </c>
      <c r="AA28" s="143">
        <v>30</v>
      </c>
    </row>
    <row r="29" spans="2:27" ht="15" customHeight="1">
      <c r="B29" s="97" t="s">
        <v>58</v>
      </c>
      <c r="C29" s="20">
        <v>1</v>
      </c>
      <c r="D29" s="20" t="s">
        <v>52</v>
      </c>
      <c r="E29" s="107">
        <v>10</v>
      </c>
      <c r="F29" s="140">
        <v>12</v>
      </c>
      <c r="G29" s="141">
        <v>18</v>
      </c>
      <c r="H29" s="140">
        <v>2</v>
      </c>
      <c r="I29" s="138">
        <v>2</v>
      </c>
      <c r="J29" s="138"/>
      <c r="K29" s="138">
        <v>2</v>
      </c>
      <c r="L29" s="71">
        <f t="shared" si="0"/>
        <v>2</v>
      </c>
      <c r="M29" s="88">
        <f t="shared" si="1"/>
        <v>4</v>
      </c>
      <c r="N29" s="142">
        <v>1</v>
      </c>
      <c r="O29" s="138"/>
      <c r="P29" s="138">
        <v>3</v>
      </c>
      <c r="Q29" s="141">
        <v>4</v>
      </c>
      <c r="R29" s="140">
        <v>104</v>
      </c>
      <c r="S29" s="143">
        <v>154</v>
      </c>
      <c r="T29" s="147">
        <v>23</v>
      </c>
      <c r="U29" s="151">
        <v>10</v>
      </c>
      <c r="V29" s="148">
        <f t="shared" si="2"/>
        <v>77</v>
      </c>
      <c r="W29" s="152">
        <f t="shared" si="3"/>
        <v>129</v>
      </c>
      <c r="X29" s="140">
        <v>1</v>
      </c>
      <c r="Y29" s="138">
        <v>1</v>
      </c>
      <c r="Z29" s="138">
        <v>4</v>
      </c>
      <c r="AA29" s="143">
        <v>4</v>
      </c>
    </row>
    <row r="30" spans="2:27" ht="15" customHeight="1">
      <c r="B30" s="97" t="s">
        <v>59</v>
      </c>
      <c r="C30" s="20"/>
      <c r="D30" s="20"/>
      <c r="E30" s="33">
        <v>11</v>
      </c>
      <c r="F30" s="140">
        <v>361</v>
      </c>
      <c r="G30" s="141">
        <v>615</v>
      </c>
      <c r="H30" s="140">
        <v>134</v>
      </c>
      <c r="I30" s="138">
        <v>236</v>
      </c>
      <c r="J30" s="138">
        <v>1</v>
      </c>
      <c r="K30" s="138">
        <v>8</v>
      </c>
      <c r="L30" s="71">
        <f t="shared" si="0"/>
        <v>135</v>
      </c>
      <c r="M30" s="88">
        <f t="shared" si="1"/>
        <v>244</v>
      </c>
      <c r="N30" s="142">
        <v>43</v>
      </c>
      <c r="O30" s="138">
        <v>5</v>
      </c>
      <c r="P30" s="138">
        <v>89</v>
      </c>
      <c r="Q30" s="141">
        <v>138</v>
      </c>
      <c r="R30" s="140">
        <v>1627</v>
      </c>
      <c r="S30" s="143">
        <v>2148</v>
      </c>
      <c r="T30" s="147">
        <v>356</v>
      </c>
      <c r="U30" s="151">
        <v>86</v>
      </c>
      <c r="V30" s="148">
        <f t="shared" si="2"/>
        <v>1458</v>
      </c>
      <c r="W30" s="152">
        <f t="shared" si="3"/>
        <v>2088</v>
      </c>
      <c r="X30" s="140">
        <v>23</v>
      </c>
      <c r="Y30" s="138">
        <v>23</v>
      </c>
      <c r="Z30" s="138">
        <v>132</v>
      </c>
      <c r="AA30" s="143">
        <v>132</v>
      </c>
    </row>
    <row r="31" spans="2:27" ht="15" customHeight="1">
      <c r="B31" s="97" t="s">
        <v>60</v>
      </c>
      <c r="C31" s="20">
        <v>1</v>
      </c>
      <c r="D31" s="20" t="s">
        <v>47</v>
      </c>
      <c r="E31" s="33">
        <v>12</v>
      </c>
      <c r="F31" s="140">
        <v>9</v>
      </c>
      <c r="G31" s="141">
        <v>19</v>
      </c>
      <c r="H31" s="140">
        <v>6</v>
      </c>
      <c r="I31" s="138">
        <v>13</v>
      </c>
      <c r="J31" s="138"/>
      <c r="K31" s="138"/>
      <c r="L31" s="71">
        <f t="shared" si="0"/>
        <v>6</v>
      </c>
      <c r="M31" s="88">
        <f t="shared" si="1"/>
        <v>13</v>
      </c>
      <c r="N31" s="142"/>
      <c r="O31" s="138"/>
      <c r="P31" s="138">
        <v>8</v>
      </c>
      <c r="Q31" s="141">
        <v>8</v>
      </c>
      <c r="R31" s="140">
        <v>81</v>
      </c>
      <c r="S31" s="143">
        <v>136</v>
      </c>
      <c r="T31" s="147">
        <v>9</v>
      </c>
      <c r="U31" s="151">
        <v>9</v>
      </c>
      <c r="V31" s="148">
        <f t="shared" si="2"/>
        <v>77</v>
      </c>
      <c r="W31" s="152">
        <f t="shared" si="3"/>
        <v>139</v>
      </c>
      <c r="X31" s="140"/>
      <c r="Y31" s="138"/>
      <c r="Z31" s="138">
        <v>4</v>
      </c>
      <c r="AA31" s="143">
        <v>4</v>
      </c>
    </row>
    <row r="32" spans="2:27" ht="15" customHeight="1">
      <c r="B32" s="97" t="s">
        <v>61</v>
      </c>
      <c r="C32" s="20">
        <v>1</v>
      </c>
      <c r="D32" s="20" t="s">
        <v>47</v>
      </c>
      <c r="E32" s="107">
        <v>13</v>
      </c>
      <c r="F32" s="140">
        <v>40</v>
      </c>
      <c r="G32" s="141">
        <v>62</v>
      </c>
      <c r="H32" s="140">
        <v>8</v>
      </c>
      <c r="I32" s="138">
        <v>17</v>
      </c>
      <c r="J32" s="138"/>
      <c r="K32" s="138"/>
      <c r="L32" s="71">
        <f t="shared" si="0"/>
        <v>8</v>
      </c>
      <c r="M32" s="88">
        <f t="shared" si="1"/>
        <v>17</v>
      </c>
      <c r="N32" s="142">
        <v>16</v>
      </c>
      <c r="O32" s="138"/>
      <c r="P32" s="138">
        <v>18</v>
      </c>
      <c r="Q32" s="141">
        <v>35</v>
      </c>
      <c r="R32" s="140">
        <v>95</v>
      </c>
      <c r="S32" s="143">
        <v>133</v>
      </c>
      <c r="T32" s="147">
        <v>30</v>
      </c>
      <c r="U32" s="151">
        <v>8</v>
      </c>
      <c r="V32" s="148">
        <f t="shared" si="2"/>
        <v>100</v>
      </c>
      <c r="W32" s="152">
        <f t="shared" si="3"/>
        <v>147</v>
      </c>
      <c r="X32" s="140"/>
      <c r="Y32" s="138"/>
      <c r="Z32" s="138">
        <v>25</v>
      </c>
      <c r="AA32" s="143">
        <v>25</v>
      </c>
    </row>
    <row r="33" spans="2:27" ht="15" customHeight="1">
      <c r="B33" s="97" t="s">
        <v>62</v>
      </c>
      <c r="C33" s="20"/>
      <c r="D33" s="20"/>
      <c r="E33" s="33">
        <v>14</v>
      </c>
      <c r="F33" s="140">
        <v>303</v>
      </c>
      <c r="G33" s="141">
        <v>452</v>
      </c>
      <c r="H33" s="140">
        <v>66</v>
      </c>
      <c r="I33" s="138">
        <v>131</v>
      </c>
      <c r="J33" s="138">
        <v>2</v>
      </c>
      <c r="K33" s="138">
        <v>9</v>
      </c>
      <c r="L33" s="71">
        <f t="shared" si="0"/>
        <v>68</v>
      </c>
      <c r="M33" s="88">
        <f t="shared" si="1"/>
        <v>140</v>
      </c>
      <c r="N33" s="142">
        <v>22</v>
      </c>
      <c r="O33" s="138"/>
      <c r="P33" s="138">
        <v>111</v>
      </c>
      <c r="Q33" s="141">
        <v>134</v>
      </c>
      <c r="R33" s="140">
        <v>1186</v>
      </c>
      <c r="S33" s="143">
        <v>1666</v>
      </c>
      <c r="T33" s="147">
        <v>267</v>
      </c>
      <c r="U33" s="151">
        <v>99</v>
      </c>
      <c r="V33" s="148">
        <f t="shared" si="2"/>
        <v>1022</v>
      </c>
      <c r="W33" s="152">
        <f t="shared" si="3"/>
        <v>1574</v>
      </c>
      <c r="X33" s="140">
        <v>24</v>
      </c>
      <c r="Y33" s="138">
        <v>24</v>
      </c>
      <c r="Z33" s="138">
        <v>99</v>
      </c>
      <c r="AA33" s="143">
        <v>99</v>
      </c>
    </row>
    <row r="34" spans="2:27" ht="15" customHeight="1">
      <c r="B34" s="97" t="s">
        <v>64</v>
      </c>
      <c r="C34" s="20" t="s">
        <v>63</v>
      </c>
      <c r="D34" s="20"/>
      <c r="E34" s="33">
        <v>15</v>
      </c>
      <c r="F34" s="140">
        <v>8207</v>
      </c>
      <c r="G34" s="141">
        <v>17095</v>
      </c>
      <c r="H34" s="140">
        <v>2308</v>
      </c>
      <c r="I34" s="138">
        <v>5177</v>
      </c>
      <c r="J34" s="138">
        <v>160</v>
      </c>
      <c r="K34" s="138">
        <v>639</v>
      </c>
      <c r="L34" s="71">
        <f t="shared" si="0"/>
        <v>2468</v>
      </c>
      <c r="M34" s="88">
        <f t="shared" si="1"/>
        <v>5816</v>
      </c>
      <c r="N34" s="142">
        <v>505</v>
      </c>
      <c r="O34" s="138">
        <v>6</v>
      </c>
      <c r="P34" s="138">
        <v>1095</v>
      </c>
      <c r="Q34" s="141">
        <v>1607</v>
      </c>
      <c r="R34" s="140">
        <v>18859</v>
      </c>
      <c r="S34" s="143">
        <v>30893</v>
      </c>
      <c r="T34" s="147">
        <v>3070</v>
      </c>
      <c r="U34" s="151">
        <v>528</v>
      </c>
      <c r="V34" s="148">
        <f t="shared" si="2"/>
        <v>19336</v>
      </c>
      <c r="W34" s="152">
        <f t="shared" si="3"/>
        <v>34718</v>
      </c>
      <c r="X34" s="140">
        <v>415</v>
      </c>
      <c r="Y34" s="138">
        <v>439</v>
      </c>
      <c r="Z34" s="138">
        <v>2081</v>
      </c>
      <c r="AA34" s="143">
        <v>2082</v>
      </c>
    </row>
    <row r="35" spans="2:27" ht="15" customHeight="1">
      <c r="B35" s="97" t="s">
        <v>65</v>
      </c>
      <c r="C35" s="20">
        <v>1</v>
      </c>
      <c r="D35" s="20" t="s">
        <v>52</v>
      </c>
      <c r="E35" s="107">
        <v>16</v>
      </c>
      <c r="F35" s="140">
        <v>3</v>
      </c>
      <c r="G35" s="141">
        <v>3</v>
      </c>
      <c r="H35" s="140"/>
      <c r="I35" s="138"/>
      <c r="J35" s="138"/>
      <c r="K35" s="138"/>
      <c r="L35" s="71">
        <f t="shared" si="0"/>
        <v>0</v>
      </c>
      <c r="M35" s="88">
        <f t="shared" si="1"/>
        <v>0</v>
      </c>
      <c r="N35" s="142"/>
      <c r="O35" s="138"/>
      <c r="P35" s="138">
        <v>2</v>
      </c>
      <c r="Q35" s="141">
        <v>2</v>
      </c>
      <c r="R35" s="140">
        <v>15</v>
      </c>
      <c r="S35" s="143">
        <v>26</v>
      </c>
      <c r="T35" s="147">
        <v>1</v>
      </c>
      <c r="U35" s="151"/>
      <c r="V35" s="148">
        <f t="shared" si="2"/>
        <v>16</v>
      </c>
      <c r="W35" s="152">
        <f t="shared" si="3"/>
        <v>27</v>
      </c>
      <c r="X35" s="140"/>
      <c r="Y35" s="138"/>
      <c r="Z35" s="138">
        <v>6</v>
      </c>
      <c r="AA35" s="143">
        <v>6</v>
      </c>
    </row>
    <row r="36" spans="2:27" ht="15" customHeight="1">
      <c r="B36" s="97" t="s">
        <v>66</v>
      </c>
      <c r="C36" s="20" t="s">
        <v>63</v>
      </c>
      <c r="D36" s="20"/>
      <c r="E36" s="33">
        <v>17</v>
      </c>
      <c r="F36" s="140">
        <v>1383</v>
      </c>
      <c r="G36" s="141">
        <v>2732</v>
      </c>
      <c r="H36" s="140">
        <v>393</v>
      </c>
      <c r="I36" s="138">
        <v>917</v>
      </c>
      <c r="J36" s="138">
        <v>32</v>
      </c>
      <c r="K36" s="138">
        <v>115</v>
      </c>
      <c r="L36" s="71">
        <f t="shared" si="0"/>
        <v>425</v>
      </c>
      <c r="M36" s="88">
        <f t="shared" si="1"/>
        <v>1032</v>
      </c>
      <c r="N36" s="142">
        <v>52</v>
      </c>
      <c r="O36" s="138"/>
      <c r="P36" s="138">
        <v>215</v>
      </c>
      <c r="Q36" s="141">
        <v>267</v>
      </c>
      <c r="R36" s="140">
        <v>4228</v>
      </c>
      <c r="S36" s="143">
        <v>6543</v>
      </c>
      <c r="T36" s="147">
        <v>895</v>
      </c>
      <c r="U36" s="151">
        <v>296</v>
      </c>
      <c r="V36" s="148">
        <f t="shared" si="2"/>
        <v>3729</v>
      </c>
      <c r="W36" s="152">
        <f t="shared" si="3"/>
        <v>6651</v>
      </c>
      <c r="X36" s="140">
        <v>86</v>
      </c>
      <c r="Y36" s="138">
        <v>86</v>
      </c>
      <c r="Z36" s="138">
        <v>448</v>
      </c>
      <c r="AA36" s="143">
        <v>448</v>
      </c>
    </row>
    <row r="37" spans="2:27" ht="15" customHeight="1">
      <c r="B37" s="97" t="s">
        <v>67</v>
      </c>
      <c r="C37" s="20"/>
      <c r="D37" s="20"/>
      <c r="E37" s="33">
        <v>18</v>
      </c>
      <c r="F37" s="140">
        <v>37</v>
      </c>
      <c r="G37" s="141">
        <v>60</v>
      </c>
      <c r="H37" s="140">
        <v>12</v>
      </c>
      <c r="I37" s="138">
        <v>21</v>
      </c>
      <c r="J37" s="138"/>
      <c r="K37" s="138">
        <v>1</v>
      </c>
      <c r="L37" s="71">
        <f t="shared" si="0"/>
        <v>12</v>
      </c>
      <c r="M37" s="88">
        <f t="shared" si="1"/>
        <v>22</v>
      </c>
      <c r="N37" s="142">
        <v>6</v>
      </c>
      <c r="O37" s="138"/>
      <c r="P37" s="138">
        <v>11</v>
      </c>
      <c r="Q37" s="141">
        <v>18</v>
      </c>
      <c r="R37" s="140">
        <v>306</v>
      </c>
      <c r="S37" s="143">
        <v>425</v>
      </c>
      <c r="T37" s="147">
        <v>65</v>
      </c>
      <c r="U37" s="151">
        <v>32</v>
      </c>
      <c r="V37" s="148">
        <f t="shared" si="2"/>
        <v>239</v>
      </c>
      <c r="W37" s="152">
        <f t="shared" si="3"/>
        <v>368</v>
      </c>
      <c r="X37" s="140">
        <v>1</v>
      </c>
      <c r="Y37" s="138">
        <v>1</v>
      </c>
      <c r="Z37" s="138">
        <v>15</v>
      </c>
      <c r="AA37" s="143">
        <v>15</v>
      </c>
    </row>
    <row r="38" spans="2:27" ht="15" customHeight="1">
      <c r="B38" s="97" t="s">
        <v>68</v>
      </c>
      <c r="C38" s="20">
        <v>1</v>
      </c>
      <c r="D38" s="20" t="s">
        <v>47</v>
      </c>
      <c r="E38" s="107">
        <v>19</v>
      </c>
      <c r="F38" s="140">
        <v>43</v>
      </c>
      <c r="G38" s="141">
        <v>88</v>
      </c>
      <c r="H38" s="140">
        <v>10</v>
      </c>
      <c r="I38" s="138">
        <v>22</v>
      </c>
      <c r="J38" s="138"/>
      <c r="K38" s="138">
        <v>2</v>
      </c>
      <c r="L38" s="71">
        <f t="shared" si="0"/>
        <v>10</v>
      </c>
      <c r="M38" s="88">
        <f t="shared" si="1"/>
        <v>24</v>
      </c>
      <c r="N38" s="142">
        <v>13</v>
      </c>
      <c r="O38" s="138">
        <v>2</v>
      </c>
      <c r="P38" s="138">
        <v>32</v>
      </c>
      <c r="Q38" s="141">
        <v>48</v>
      </c>
      <c r="R38" s="140">
        <v>367</v>
      </c>
      <c r="S38" s="143">
        <v>520</v>
      </c>
      <c r="T38" s="147">
        <v>101</v>
      </c>
      <c r="U38" s="151">
        <v>25</v>
      </c>
      <c r="V38" s="148">
        <f t="shared" si="2"/>
        <v>299</v>
      </c>
      <c r="W38" s="152">
        <f t="shared" si="3"/>
        <v>466</v>
      </c>
      <c r="X38" s="140">
        <v>1</v>
      </c>
      <c r="Y38" s="138">
        <v>1</v>
      </c>
      <c r="Z38" s="138">
        <v>11</v>
      </c>
      <c r="AA38" s="143">
        <v>11</v>
      </c>
    </row>
    <row r="39" spans="2:27" ht="15" customHeight="1">
      <c r="B39" s="97" t="s">
        <v>69</v>
      </c>
      <c r="C39" s="20"/>
      <c r="D39" s="20"/>
      <c r="E39" s="33">
        <v>20</v>
      </c>
      <c r="F39" s="140">
        <v>22</v>
      </c>
      <c r="G39" s="141">
        <v>46</v>
      </c>
      <c r="H39" s="140">
        <v>6</v>
      </c>
      <c r="I39" s="138">
        <v>12</v>
      </c>
      <c r="J39" s="138"/>
      <c r="K39" s="138">
        <v>1</v>
      </c>
      <c r="L39" s="71">
        <f t="shared" si="0"/>
        <v>6</v>
      </c>
      <c r="M39" s="88">
        <f t="shared" si="1"/>
        <v>13</v>
      </c>
      <c r="N39" s="142">
        <v>2</v>
      </c>
      <c r="O39" s="138">
        <v>2</v>
      </c>
      <c r="P39" s="138">
        <v>13</v>
      </c>
      <c r="Q39" s="141">
        <v>17</v>
      </c>
      <c r="R39" s="140">
        <v>116</v>
      </c>
      <c r="S39" s="143">
        <v>191</v>
      </c>
      <c r="T39" s="147">
        <v>21</v>
      </c>
      <c r="U39" s="151">
        <v>12</v>
      </c>
      <c r="V39" s="148">
        <f t="shared" si="2"/>
        <v>106</v>
      </c>
      <c r="W39" s="152">
        <f t="shared" si="3"/>
        <v>188</v>
      </c>
      <c r="X39" s="140">
        <v>3</v>
      </c>
      <c r="Y39" s="138">
        <v>3</v>
      </c>
      <c r="Z39" s="138">
        <v>12</v>
      </c>
      <c r="AA39" s="143">
        <v>12</v>
      </c>
    </row>
    <row r="40" spans="2:27" ht="15" customHeight="1">
      <c r="B40" s="97" t="s">
        <v>70</v>
      </c>
      <c r="C40" s="20">
        <v>1</v>
      </c>
      <c r="D40" s="20" t="s">
        <v>52</v>
      </c>
      <c r="E40" s="33">
        <v>21</v>
      </c>
      <c r="F40" s="140">
        <v>23</v>
      </c>
      <c r="G40" s="141">
        <v>39</v>
      </c>
      <c r="H40" s="140">
        <v>3</v>
      </c>
      <c r="I40" s="138">
        <v>6</v>
      </c>
      <c r="J40" s="138"/>
      <c r="K40" s="138"/>
      <c r="L40" s="71">
        <f t="shared" si="0"/>
        <v>3</v>
      </c>
      <c r="M40" s="88">
        <f t="shared" si="1"/>
        <v>6</v>
      </c>
      <c r="N40" s="142"/>
      <c r="O40" s="138"/>
      <c r="P40" s="138">
        <v>8</v>
      </c>
      <c r="Q40" s="141">
        <v>8</v>
      </c>
      <c r="R40" s="140">
        <v>173</v>
      </c>
      <c r="S40" s="143">
        <v>230</v>
      </c>
      <c r="T40" s="147">
        <v>40</v>
      </c>
      <c r="U40" s="151">
        <v>13</v>
      </c>
      <c r="V40" s="148">
        <f t="shared" si="2"/>
        <v>131</v>
      </c>
      <c r="W40" s="152">
        <f t="shared" si="3"/>
        <v>191</v>
      </c>
      <c r="X40" s="140"/>
      <c r="Y40" s="138"/>
      <c r="Z40" s="138">
        <v>4</v>
      </c>
      <c r="AA40" s="143">
        <v>4</v>
      </c>
    </row>
    <row r="41" spans="2:27" ht="15" customHeight="1">
      <c r="B41" s="97" t="s">
        <v>71</v>
      </c>
      <c r="C41" s="20">
        <v>1</v>
      </c>
      <c r="D41" s="20" t="s">
        <v>47</v>
      </c>
      <c r="E41" s="107">
        <v>22</v>
      </c>
      <c r="F41" s="140">
        <v>43</v>
      </c>
      <c r="G41" s="141">
        <v>66</v>
      </c>
      <c r="H41" s="140">
        <v>13</v>
      </c>
      <c r="I41" s="138">
        <v>19</v>
      </c>
      <c r="J41" s="138">
        <v>1</v>
      </c>
      <c r="K41" s="138">
        <v>5</v>
      </c>
      <c r="L41" s="71">
        <f t="shared" si="0"/>
        <v>14</v>
      </c>
      <c r="M41" s="88">
        <f t="shared" si="1"/>
        <v>24</v>
      </c>
      <c r="N41" s="142">
        <v>1</v>
      </c>
      <c r="O41" s="138"/>
      <c r="P41" s="138">
        <v>10</v>
      </c>
      <c r="Q41" s="141">
        <v>11</v>
      </c>
      <c r="R41" s="140">
        <v>214</v>
      </c>
      <c r="S41" s="143">
        <v>353</v>
      </c>
      <c r="T41" s="147">
        <v>36</v>
      </c>
      <c r="U41" s="151">
        <v>13</v>
      </c>
      <c r="V41" s="148">
        <f t="shared" si="2"/>
        <v>190</v>
      </c>
      <c r="W41" s="152">
        <f t="shared" si="3"/>
        <v>339</v>
      </c>
      <c r="X41" s="140">
        <v>4</v>
      </c>
      <c r="Y41" s="138">
        <v>4</v>
      </c>
      <c r="Z41" s="138">
        <v>10</v>
      </c>
      <c r="AA41" s="143">
        <v>10</v>
      </c>
    </row>
    <row r="42" spans="2:27" ht="15" customHeight="1">
      <c r="B42" s="97" t="s">
        <v>72</v>
      </c>
      <c r="C42" s="20"/>
      <c r="D42" s="20"/>
      <c r="E42" s="33">
        <v>23</v>
      </c>
      <c r="F42" s="140">
        <v>33</v>
      </c>
      <c r="G42" s="141">
        <v>48</v>
      </c>
      <c r="H42" s="140">
        <v>6</v>
      </c>
      <c r="I42" s="138">
        <v>10</v>
      </c>
      <c r="J42" s="138"/>
      <c r="K42" s="138"/>
      <c r="L42" s="71">
        <f t="shared" si="0"/>
        <v>6</v>
      </c>
      <c r="M42" s="88">
        <f t="shared" si="1"/>
        <v>10</v>
      </c>
      <c r="N42" s="142">
        <v>1</v>
      </c>
      <c r="O42" s="138">
        <v>3</v>
      </c>
      <c r="P42" s="138">
        <v>10</v>
      </c>
      <c r="Q42" s="141">
        <v>14</v>
      </c>
      <c r="R42" s="140">
        <v>254</v>
      </c>
      <c r="S42" s="143">
        <v>330</v>
      </c>
      <c r="T42" s="147">
        <v>57</v>
      </c>
      <c r="U42" s="151">
        <v>13</v>
      </c>
      <c r="V42" s="148">
        <f t="shared" si="2"/>
        <v>204</v>
      </c>
      <c r="W42" s="152">
        <f t="shared" si="3"/>
        <v>284</v>
      </c>
      <c r="X42" s="140">
        <v>3</v>
      </c>
      <c r="Y42" s="138">
        <v>3</v>
      </c>
      <c r="Z42" s="138">
        <v>12</v>
      </c>
      <c r="AA42" s="143">
        <v>12</v>
      </c>
    </row>
    <row r="43" spans="2:27" ht="15" customHeight="1">
      <c r="B43" s="97" t="s">
        <v>73</v>
      </c>
      <c r="C43" s="20">
        <v>1</v>
      </c>
      <c r="D43" s="20" t="s">
        <v>47</v>
      </c>
      <c r="E43" s="33">
        <v>24</v>
      </c>
      <c r="F43" s="140">
        <v>15</v>
      </c>
      <c r="G43" s="141">
        <v>35</v>
      </c>
      <c r="H43" s="140">
        <v>6</v>
      </c>
      <c r="I43" s="138">
        <v>10</v>
      </c>
      <c r="J43" s="138">
        <v>1</v>
      </c>
      <c r="K43" s="138">
        <v>4</v>
      </c>
      <c r="L43" s="71">
        <f t="shared" si="0"/>
        <v>7</v>
      </c>
      <c r="M43" s="88">
        <f t="shared" si="1"/>
        <v>14</v>
      </c>
      <c r="N43" s="142"/>
      <c r="O43" s="138"/>
      <c r="P43" s="138">
        <v>1</v>
      </c>
      <c r="Q43" s="141">
        <v>1</v>
      </c>
      <c r="R43" s="140">
        <v>69</v>
      </c>
      <c r="S43" s="143">
        <v>123</v>
      </c>
      <c r="T43" s="147">
        <v>7</v>
      </c>
      <c r="U43" s="151">
        <v>5</v>
      </c>
      <c r="V43" s="148">
        <f t="shared" si="2"/>
        <v>65</v>
      </c>
      <c r="W43" s="152">
        <f t="shared" si="3"/>
        <v>126</v>
      </c>
      <c r="X43" s="140"/>
      <c r="Y43" s="138"/>
      <c r="Z43" s="138">
        <v>7</v>
      </c>
      <c r="AA43" s="143">
        <v>7</v>
      </c>
    </row>
    <row r="44" spans="2:27" ht="15" customHeight="1">
      <c r="B44" s="97" t="s">
        <v>74</v>
      </c>
      <c r="C44" s="20"/>
      <c r="D44" s="20"/>
      <c r="E44" s="107">
        <v>25</v>
      </c>
      <c r="F44" s="140">
        <v>68</v>
      </c>
      <c r="G44" s="141">
        <v>90</v>
      </c>
      <c r="H44" s="140">
        <v>10</v>
      </c>
      <c r="I44" s="138">
        <v>22</v>
      </c>
      <c r="J44" s="138"/>
      <c r="K44" s="138">
        <v>3</v>
      </c>
      <c r="L44" s="71">
        <f t="shared" si="0"/>
        <v>10</v>
      </c>
      <c r="M44" s="88">
        <f t="shared" si="1"/>
        <v>25</v>
      </c>
      <c r="N44" s="142">
        <v>49</v>
      </c>
      <c r="O44" s="138"/>
      <c r="P44" s="138">
        <v>47</v>
      </c>
      <c r="Q44" s="141">
        <v>98</v>
      </c>
      <c r="R44" s="140">
        <v>681</v>
      </c>
      <c r="S44" s="143">
        <v>840</v>
      </c>
      <c r="T44" s="147">
        <v>173</v>
      </c>
      <c r="U44" s="151">
        <v>72</v>
      </c>
      <c r="V44" s="148">
        <f t="shared" si="2"/>
        <v>544</v>
      </c>
      <c r="W44" s="152">
        <f t="shared" si="3"/>
        <v>718</v>
      </c>
      <c r="X44" s="140">
        <v>4</v>
      </c>
      <c r="Y44" s="138">
        <v>4</v>
      </c>
      <c r="Z44" s="138">
        <v>13</v>
      </c>
      <c r="AA44" s="143">
        <v>13</v>
      </c>
    </row>
    <row r="45" spans="2:27" ht="15" customHeight="1">
      <c r="B45" s="97" t="s">
        <v>76</v>
      </c>
      <c r="C45" s="20">
        <v>1</v>
      </c>
      <c r="D45" s="20" t="s">
        <v>75</v>
      </c>
      <c r="E45" s="33">
        <v>26</v>
      </c>
      <c r="F45" s="140">
        <v>20</v>
      </c>
      <c r="G45" s="141">
        <v>36</v>
      </c>
      <c r="H45" s="140">
        <v>6</v>
      </c>
      <c r="I45" s="138">
        <v>15</v>
      </c>
      <c r="J45" s="138"/>
      <c r="K45" s="138"/>
      <c r="L45" s="71">
        <f t="shared" si="0"/>
        <v>6</v>
      </c>
      <c r="M45" s="88">
        <f t="shared" si="1"/>
        <v>15</v>
      </c>
      <c r="N45" s="142">
        <v>11</v>
      </c>
      <c r="O45" s="138"/>
      <c r="P45" s="138">
        <v>29</v>
      </c>
      <c r="Q45" s="141">
        <v>41</v>
      </c>
      <c r="R45" s="140">
        <v>234</v>
      </c>
      <c r="S45" s="143">
        <v>297</v>
      </c>
      <c r="T45" s="147">
        <v>68</v>
      </c>
      <c r="U45" s="151">
        <v>29</v>
      </c>
      <c r="V45" s="148">
        <f t="shared" si="2"/>
        <v>184</v>
      </c>
      <c r="W45" s="152">
        <f t="shared" si="3"/>
        <v>256</v>
      </c>
      <c r="X45" s="140"/>
      <c r="Y45" s="138"/>
      <c r="Z45" s="138">
        <v>7</v>
      </c>
      <c r="AA45" s="143">
        <v>7</v>
      </c>
    </row>
    <row r="46" spans="2:27" ht="15" customHeight="1">
      <c r="B46" s="97" t="s">
        <v>77</v>
      </c>
      <c r="C46" s="20"/>
      <c r="D46" s="20"/>
      <c r="E46" s="33">
        <v>27</v>
      </c>
      <c r="F46" s="140">
        <v>108</v>
      </c>
      <c r="G46" s="141">
        <v>167</v>
      </c>
      <c r="H46" s="140">
        <v>20</v>
      </c>
      <c r="I46" s="138">
        <v>44</v>
      </c>
      <c r="J46" s="138">
        <v>1</v>
      </c>
      <c r="K46" s="138">
        <v>4</v>
      </c>
      <c r="L46" s="71">
        <f t="shared" si="0"/>
        <v>21</v>
      </c>
      <c r="M46" s="88">
        <f t="shared" si="1"/>
        <v>48</v>
      </c>
      <c r="N46" s="142">
        <v>6</v>
      </c>
      <c r="O46" s="138"/>
      <c r="P46" s="138">
        <v>52</v>
      </c>
      <c r="Q46" s="141">
        <v>59</v>
      </c>
      <c r="R46" s="140">
        <v>420</v>
      </c>
      <c r="S46" s="143">
        <v>689</v>
      </c>
      <c r="T46" s="147">
        <v>85</v>
      </c>
      <c r="U46" s="151">
        <v>30</v>
      </c>
      <c r="V46" s="148">
        <f t="shared" si="2"/>
        <v>385</v>
      </c>
      <c r="W46" s="152">
        <f t="shared" si="3"/>
        <v>681</v>
      </c>
      <c r="X46" s="140">
        <v>12</v>
      </c>
      <c r="Y46" s="138">
        <v>12</v>
      </c>
      <c r="Z46" s="138">
        <v>23</v>
      </c>
      <c r="AA46" s="143">
        <v>23</v>
      </c>
    </row>
    <row r="47" spans="2:27" ht="15" customHeight="1">
      <c r="B47" s="97" t="s">
        <v>78</v>
      </c>
      <c r="C47" s="20"/>
      <c r="D47" s="20"/>
      <c r="E47" s="107">
        <v>28</v>
      </c>
      <c r="F47" s="140">
        <v>119</v>
      </c>
      <c r="G47" s="141">
        <v>216</v>
      </c>
      <c r="H47" s="140">
        <v>27</v>
      </c>
      <c r="I47" s="138">
        <v>58</v>
      </c>
      <c r="J47" s="138">
        <v>1</v>
      </c>
      <c r="K47" s="138">
        <v>7</v>
      </c>
      <c r="L47" s="71">
        <f t="shared" si="0"/>
        <v>28</v>
      </c>
      <c r="M47" s="88">
        <f t="shared" si="1"/>
        <v>65</v>
      </c>
      <c r="N47" s="142">
        <v>11</v>
      </c>
      <c r="O47" s="138"/>
      <c r="P47" s="138">
        <v>29</v>
      </c>
      <c r="Q47" s="141">
        <v>41</v>
      </c>
      <c r="R47" s="140">
        <v>679</v>
      </c>
      <c r="S47" s="143">
        <v>1043</v>
      </c>
      <c r="T47" s="147">
        <v>134</v>
      </c>
      <c r="U47" s="151">
        <v>37</v>
      </c>
      <c r="V47" s="148">
        <f t="shared" si="2"/>
        <v>577</v>
      </c>
      <c r="W47" s="152">
        <f t="shared" si="3"/>
        <v>978</v>
      </c>
      <c r="X47" s="140">
        <v>11</v>
      </c>
      <c r="Y47" s="138">
        <v>11</v>
      </c>
      <c r="Z47" s="138">
        <v>31</v>
      </c>
      <c r="AA47" s="143">
        <v>31</v>
      </c>
    </row>
    <row r="48" spans="2:27" ht="15" customHeight="1">
      <c r="B48" s="97" t="s">
        <v>79</v>
      </c>
      <c r="C48" s="20">
        <v>1</v>
      </c>
      <c r="D48" s="20" t="s">
        <v>52</v>
      </c>
      <c r="E48" s="33">
        <v>29</v>
      </c>
      <c r="F48" s="140"/>
      <c r="G48" s="141">
        <v>1</v>
      </c>
      <c r="H48" s="140"/>
      <c r="I48" s="138">
        <v>1</v>
      </c>
      <c r="J48" s="138"/>
      <c r="K48" s="138"/>
      <c r="L48" s="71">
        <f t="shared" si="0"/>
        <v>0</v>
      </c>
      <c r="M48" s="88">
        <f t="shared" si="1"/>
        <v>1</v>
      </c>
      <c r="N48" s="142"/>
      <c r="O48" s="138"/>
      <c r="P48" s="138">
        <v>2</v>
      </c>
      <c r="Q48" s="141">
        <v>2</v>
      </c>
      <c r="R48" s="140">
        <v>14</v>
      </c>
      <c r="S48" s="143">
        <v>29</v>
      </c>
      <c r="T48" s="147">
        <v>1</v>
      </c>
      <c r="U48" s="151">
        <v>1</v>
      </c>
      <c r="V48" s="148">
        <f t="shared" si="2"/>
        <v>14</v>
      </c>
      <c r="W48" s="152">
        <f t="shared" si="3"/>
        <v>30</v>
      </c>
      <c r="X48" s="140"/>
      <c r="Y48" s="138"/>
      <c r="Z48" s="138"/>
      <c r="AA48" s="143"/>
    </row>
    <row r="49" spans="2:27" ht="15" customHeight="1">
      <c r="B49" s="97" t="s">
        <v>80</v>
      </c>
      <c r="C49" s="20">
        <v>1</v>
      </c>
      <c r="D49" s="20" t="s">
        <v>47</v>
      </c>
      <c r="E49" s="33">
        <v>30</v>
      </c>
      <c r="F49" s="140">
        <v>18</v>
      </c>
      <c r="G49" s="141">
        <v>26</v>
      </c>
      <c r="H49" s="140">
        <v>4</v>
      </c>
      <c r="I49" s="138">
        <v>7</v>
      </c>
      <c r="J49" s="138"/>
      <c r="K49" s="138"/>
      <c r="L49" s="71">
        <f t="shared" si="0"/>
        <v>4</v>
      </c>
      <c r="M49" s="88">
        <f t="shared" si="1"/>
        <v>7</v>
      </c>
      <c r="N49" s="142">
        <v>3</v>
      </c>
      <c r="O49" s="138">
        <v>1</v>
      </c>
      <c r="P49" s="138">
        <v>23</v>
      </c>
      <c r="Q49" s="141">
        <v>29</v>
      </c>
      <c r="R49" s="140">
        <v>136</v>
      </c>
      <c r="S49" s="143">
        <v>203</v>
      </c>
      <c r="T49" s="147">
        <v>42</v>
      </c>
      <c r="U49" s="151">
        <v>8</v>
      </c>
      <c r="V49" s="148">
        <f t="shared" si="2"/>
        <v>119</v>
      </c>
      <c r="W49" s="152">
        <f t="shared" si="3"/>
        <v>189</v>
      </c>
      <c r="X49" s="140">
        <v>1</v>
      </c>
      <c r="Y49" s="138">
        <v>1</v>
      </c>
      <c r="Z49" s="138">
        <v>8</v>
      </c>
      <c r="AA49" s="143">
        <v>8</v>
      </c>
    </row>
    <row r="50" spans="2:27" ht="15" customHeight="1">
      <c r="B50" s="97" t="s">
        <v>81</v>
      </c>
      <c r="C50" s="20">
        <v>1</v>
      </c>
      <c r="D50" s="20" t="s">
        <v>52</v>
      </c>
      <c r="E50" s="107">
        <v>31</v>
      </c>
      <c r="F50" s="140">
        <v>7</v>
      </c>
      <c r="G50" s="141">
        <v>9</v>
      </c>
      <c r="H50" s="140">
        <v>2</v>
      </c>
      <c r="I50" s="138">
        <v>4</v>
      </c>
      <c r="J50" s="138"/>
      <c r="K50" s="138">
        <v>2</v>
      </c>
      <c r="L50" s="71">
        <f t="shared" si="0"/>
        <v>2</v>
      </c>
      <c r="M50" s="88">
        <f t="shared" si="1"/>
        <v>6</v>
      </c>
      <c r="N50" s="142"/>
      <c r="O50" s="138"/>
      <c r="P50" s="138">
        <v>2</v>
      </c>
      <c r="Q50" s="141">
        <v>2</v>
      </c>
      <c r="R50" s="140">
        <v>47</v>
      </c>
      <c r="S50" s="143">
        <v>79</v>
      </c>
      <c r="T50" s="147">
        <v>5</v>
      </c>
      <c r="U50" s="151">
        <v>3</v>
      </c>
      <c r="V50" s="148">
        <f t="shared" si="2"/>
        <v>43</v>
      </c>
      <c r="W50" s="152">
        <f t="shared" si="3"/>
        <v>79</v>
      </c>
      <c r="X50" s="140"/>
      <c r="Y50" s="138"/>
      <c r="Z50" s="138">
        <v>3</v>
      </c>
      <c r="AA50" s="143">
        <v>3</v>
      </c>
    </row>
    <row r="51" spans="2:27" ht="15" customHeight="1">
      <c r="B51" s="97" t="s">
        <v>82</v>
      </c>
      <c r="C51" s="20"/>
      <c r="D51" s="20"/>
      <c r="E51" s="33">
        <v>32</v>
      </c>
      <c r="F51" s="140">
        <v>80</v>
      </c>
      <c r="G51" s="141">
        <v>139</v>
      </c>
      <c r="H51" s="140">
        <v>21</v>
      </c>
      <c r="I51" s="138">
        <v>37</v>
      </c>
      <c r="J51" s="138"/>
      <c r="K51" s="138">
        <v>2</v>
      </c>
      <c r="L51" s="71">
        <f t="shared" si="0"/>
        <v>21</v>
      </c>
      <c r="M51" s="88">
        <f t="shared" si="1"/>
        <v>39</v>
      </c>
      <c r="N51" s="142">
        <v>1</v>
      </c>
      <c r="O51" s="138">
        <v>1</v>
      </c>
      <c r="P51" s="138">
        <v>27</v>
      </c>
      <c r="Q51" s="141">
        <v>29</v>
      </c>
      <c r="R51" s="140">
        <v>389</v>
      </c>
      <c r="S51" s="143">
        <v>652</v>
      </c>
      <c r="T51" s="147">
        <v>65</v>
      </c>
      <c r="U51" s="151">
        <v>34</v>
      </c>
      <c r="V51" s="148">
        <f t="shared" si="2"/>
        <v>340</v>
      </c>
      <c r="W51" s="152">
        <f t="shared" si="3"/>
        <v>621</v>
      </c>
      <c r="X51" s="140">
        <v>4</v>
      </c>
      <c r="Y51" s="138">
        <v>4</v>
      </c>
      <c r="Z51" s="138">
        <v>33</v>
      </c>
      <c r="AA51" s="143">
        <v>33</v>
      </c>
    </row>
    <row r="52" spans="2:27" ht="15" customHeight="1">
      <c r="B52" s="97" t="s">
        <v>83</v>
      </c>
      <c r="C52" s="20"/>
      <c r="D52" s="20"/>
      <c r="E52" s="33">
        <v>33</v>
      </c>
      <c r="F52" s="140">
        <v>82</v>
      </c>
      <c r="G52" s="141">
        <v>141</v>
      </c>
      <c r="H52" s="140">
        <v>16</v>
      </c>
      <c r="I52" s="138">
        <v>31</v>
      </c>
      <c r="J52" s="138"/>
      <c r="K52" s="138"/>
      <c r="L52" s="71">
        <f aca="true" t="shared" si="4" ref="L52:L83">SUM(H52,J52)</f>
        <v>16</v>
      </c>
      <c r="M52" s="88">
        <f aca="true" t="shared" si="5" ref="M52:M83">SUM(I52,K52)</f>
        <v>31</v>
      </c>
      <c r="N52" s="142">
        <v>12</v>
      </c>
      <c r="O52" s="138"/>
      <c r="P52" s="138">
        <v>18</v>
      </c>
      <c r="Q52" s="141">
        <v>30</v>
      </c>
      <c r="R52" s="140">
        <v>753</v>
      </c>
      <c r="S52" s="143">
        <v>946</v>
      </c>
      <c r="T52" s="147">
        <v>164</v>
      </c>
      <c r="U52" s="151">
        <v>77</v>
      </c>
      <c r="V52" s="148">
        <f aca="true" t="shared" si="6" ref="V52:V83">SUM(L52+Q52+R52-T52-U52)</f>
        <v>558</v>
      </c>
      <c r="W52" s="152">
        <f aca="true" t="shared" si="7" ref="W52:W83">SUM(M52+Q52+S52-T52-U52)</f>
        <v>766</v>
      </c>
      <c r="X52" s="140">
        <v>10</v>
      </c>
      <c r="Y52" s="138">
        <v>10</v>
      </c>
      <c r="Z52" s="138">
        <v>22</v>
      </c>
      <c r="AA52" s="143">
        <v>22</v>
      </c>
    </row>
    <row r="53" spans="2:27" ht="15" customHeight="1">
      <c r="B53" s="97" t="s">
        <v>84</v>
      </c>
      <c r="C53" s="20" t="s">
        <v>63</v>
      </c>
      <c r="D53" s="20"/>
      <c r="E53" s="107">
        <v>34</v>
      </c>
      <c r="F53" s="140">
        <v>1121</v>
      </c>
      <c r="G53" s="141">
        <v>1879</v>
      </c>
      <c r="H53" s="140">
        <v>231</v>
      </c>
      <c r="I53" s="138">
        <v>443</v>
      </c>
      <c r="J53" s="138">
        <v>15</v>
      </c>
      <c r="K53" s="138">
        <v>52</v>
      </c>
      <c r="L53" s="71">
        <f t="shared" si="4"/>
        <v>246</v>
      </c>
      <c r="M53" s="88">
        <f t="shared" si="5"/>
        <v>495</v>
      </c>
      <c r="N53" s="142">
        <v>138</v>
      </c>
      <c r="O53" s="138">
        <v>1</v>
      </c>
      <c r="P53" s="138">
        <v>255</v>
      </c>
      <c r="Q53" s="141">
        <v>394</v>
      </c>
      <c r="R53" s="140">
        <v>5264</v>
      </c>
      <c r="S53" s="143">
        <v>7324</v>
      </c>
      <c r="T53" s="147">
        <v>1050</v>
      </c>
      <c r="U53" s="151">
        <v>297</v>
      </c>
      <c r="V53" s="148">
        <f t="shared" si="6"/>
        <v>4557</v>
      </c>
      <c r="W53" s="152">
        <f t="shared" si="7"/>
        <v>6866</v>
      </c>
      <c r="X53" s="140">
        <v>62</v>
      </c>
      <c r="Y53" s="138">
        <v>63</v>
      </c>
      <c r="Z53" s="138">
        <v>375</v>
      </c>
      <c r="AA53" s="143">
        <v>375</v>
      </c>
    </row>
    <row r="54" spans="2:27" ht="15" customHeight="1">
      <c r="B54" s="97" t="s">
        <v>85</v>
      </c>
      <c r="C54" s="20"/>
      <c r="D54" s="20"/>
      <c r="E54" s="33">
        <v>35</v>
      </c>
      <c r="F54" s="140">
        <v>23</v>
      </c>
      <c r="G54" s="141">
        <v>32</v>
      </c>
      <c r="H54" s="140">
        <v>4</v>
      </c>
      <c r="I54" s="138">
        <v>8</v>
      </c>
      <c r="J54" s="138"/>
      <c r="K54" s="138"/>
      <c r="L54" s="71">
        <f t="shared" si="4"/>
        <v>4</v>
      </c>
      <c r="M54" s="88">
        <f t="shared" si="5"/>
        <v>8</v>
      </c>
      <c r="N54" s="142">
        <v>1</v>
      </c>
      <c r="O54" s="138"/>
      <c r="P54" s="138">
        <v>11</v>
      </c>
      <c r="Q54" s="141">
        <v>12</v>
      </c>
      <c r="R54" s="140">
        <v>249</v>
      </c>
      <c r="S54" s="143">
        <v>315</v>
      </c>
      <c r="T54" s="147">
        <v>74</v>
      </c>
      <c r="U54" s="151">
        <v>13</v>
      </c>
      <c r="V54" s="148">
        <f t="shared" si="6"/>
        <v>178</v>
      </c>
      <c r="W54" s="152">
        <f t="shared" si="7"/>
        <v>248</v>
      </c>
      <c r="X54" s="140"/>
      <c r="Y54" s="138"/>
      <c r="Z54" s="138">
        <v>6</v>
      </c>
      <c r="AA54" s="143">
        <v>6</v>
      </c>
    </row>
    <row r="55" spans="2:27" ht="15" customHeight="1">
      <c r="B55" s="97" t="s">
        <v>86</v>
      </c>
      <c r="C55" s="20">
        <v>1</v>
      </c>
      <c r="D55" s="20" t="s">
        <v>75</v>
      </c>
      <c r="E55" s="33">
        <v>36</v>
      </c>
      <c r="F55" s="140">
        <v>35</v>
      </c>
      <c r="G55" s="141">
        <v>71</v>
      </c>
      <c r="H55" s="140">
        <v>7</v>
      </c>
      <c r="I55" s="138">
        <v>18</v>
      </c>
      <c r="J55" s="138">
        <v>1</v>
      </c>
      <c r="K55" s="138">
        <v>6</v>
      </c>
      <c r="L55" s="71">
        <f t="shared" si="4"/>
        <v>8</v>
      </c>
      <c r="M55" s="88">
        <f t="shared" si="5"/>
        <v>24</v>
      </c>
      <c r="N55" s="142">
        <v>6</v>
      </c>
      <c r="O55" s="138"/>
      <c r="P55" s="138">
        <v>39</v>
      </c>
      <c r="Q55" s="141">
        <v>45</v>
      </c>
      <c r="R55" s="140">
        <v>218</v>
      </c>
      <c r="S55" s="143">
        <v>337</v>
      </c>
      <c r="T55" s="147">
        <v>34</v>
      </c>
      <c r="U55" s="151">
        <v>15</v>
      </c>
      <c r="V55" s="148">
        <f t="shared" si="6"/>
        <v>222</v>
      </c>
      <c r="W55" s="152">
        <f t="shared" si="7"/>
        <v>357</v>
      </c>
      <c r="X55" s="140">
        <v>1</v>
      </c>
      <c r="Y55" s="138">
        <v>1</v>
      </c>
      <c r="Z55" s="138">
        <v>11</v>
      </c>
      <c r="AA55" s="143">
        <v>11</v>
      </c>
    </row>
    <row r="56" spans="2:27" ht="15" customHeight="1">
      <c r="B56" s="97" t="s">
        <v>87</v>
      </c>
      <c r="C56" s="20"/>
      <c r="D56" s="20"/>
      <c r="E56" s="107">
        <v>37</v>
      </c>
      <c r="F56" s="140">
        <v>321</v>
      </c>
      <c r="G56" s="141">
        <v>630</v>
      </c>
      <c r="H56" s="140">
        <v>81</v>
      </c>
      <c r="I56" s="138">
        <v>175</v>
      </c>
      <c r="J56" s="138">
        <v>5</v>
      </c>
      <c r="K56" s="138">
        <v>19</v>
      </c>
      <c r="L56" s="71">
        <f t="shared" si="4"/>
        <v>86</v>
      </c>
      <c r="M56" s="88">
        <f t="shared" si="5"/>
        <v>194</v>
      </c>
      <c r="N56" s="142">
        <v>11</v>
      </c>
      <c r="O56" s="138"/>
      <c r="P56" s="138">
        <v>29</v>
      </c>
      <c r="Q56" s="141">
        <v>41</v>
      </c>
      <c r="R56" s="140">
        <v>1070</v>
      </c>
      <c r="S56" s="143">
        <v>1570</v>
      </c>
      <c r="T56" s="147">
        <v>230</v>
      </c>
      <c r="U56" s="151">
        <v>60</v>
      </c>
      <c r="V56" s="148">
        <f t="shared" si="6"/>
        <v>907</v>
      </c>
      <c r="W56" s="152">
        <f t="shared" si="7"/>
        <v>1515</v>
      </c>
      <c r="X56" s="140">
        <v>18</v>
      </c>
      <c r="Y56" s="138">
        <v>18</v>
      </c>
      <c r="Z56" s="138">
        <v>91</v>
      </c>
      <c r="AA56" s="143">
        <v>91</v>
      </c>
    </row>
    <row r="57" spans="2:27" ht="15" customHeight="1">
      <c r="B57" s="97" t="s">
        <v>88</v>
      </c>
      <c r="C57" s="20">
        <v>1</v>
      </c>
      <c r="D57" s="20" t="s">
        <v>75</v>
      </c>
      <c r="E57" s="33">
        <v>38</v>
      </c>
      <c r="F57" s="140">
        <v>13</v>
      </c>
      <c r="G57" s="141">
        <v>26</v>
      </c>
      <c r="H57" s="140">
        <v>10</v>
      </c>
      <c r="I57" s="138">
        <v>20</v>
      </c>
      <c r="J57" s="138"/>
      <c r="K57" s="138">
        <v>1</v>
      </c>
      <c r="L57" s="71">
        <f t="shared" si="4"/>
        <v>10</v>
      </c>
      <c r="M57" s="88">
        <f t="shared" si="5"/>
        <v>21</v>
      </c>
      <c r="N57" s="142">
        <v>1</v>
      </c>
      <c r="O57" s="138"/>
      <c r="P57" s="138">
        <v>7</v>
      </c>
      <c r="Q57" s="141">
        <v>8</v>
      </c>
      <c r="R57" s="140">
        <v>206</v>
      </c>
      <c r="S57" s="143">
        <v>267</v>
      </c>
      <c r="T57" s="147">
        <v>32</v>
      </c>
      <c r="U57" s="151">
        <v>14</v>
      </c>
      <c r="V57" s="148">
        <f t="shared" si="6"/>
        <v>178</v>
      </c>
      <c r="W57" s="152">
        <f t="shared" si="7"/>
        <v>250</v>
      </c>
      <c r="X57" s="140"/>
      <c r="Y57" s="138"/>
      <c r="Z57" s="138">
        <v>7</v>
      </c>
      <c r="AA57" s="143">
        <v>7</v>
      </c>
    </row>
    <row r="58" spans="2:27" ht="15" customHeight="1">
      <c r="B58" s="97" t="s">
        <v>89</v>
      </c>
      <c r="C58" s="20"/>
      <c r="D58" s="20"/>
      <c r="E58" s="107">
        <v>40</v>
      </c>
      <c r="F58" s="140">
        <v>22</v>
      </c>
      <c r="G58" s="141">
        <v>43</v>
      </c>
      <c r="H58" s="140">
        <v>4</v>
      </c>
      <c r="I58" s="138">
        <v>15</v>
      </c>
      <c r="J58" s="138">
        <v>1</v>
      </c>
      <c r="K58" s="138">
        <v>3</v>
      </c>
      <c r="L58" s="71">
        <f t="shared" si="4"/>
        <v>5</v>
      </c>
      <c r="M58" s="88">
        <f t="shared" si="5"/>
        <v>18</v>
      </c>
      <c r="N58" s="142">
        <v>2</v>
      </c>
      <c r="O58" s="138"/>
      <c r="P58" s="138">
        <v>3</v>
      </c>
      <c r="Q58" s="141">
        <v>5</v>
      </c>
      <c r="R58" s="140">
        <v>102</v>
      </c>
      <c r="S58" s="143">
        <v>177</v>
      </c>
      <c r="T58" s="147">
        <v>20</v>
      </c>
      <c r="U58" s="151">
        <v>12</v>
      </c>
      <c r="V58" s="148">
        <f t="shared" si="6"/>
        <v>80</v>
      </c>
      <c r="W58" s="152">
        <f t="shared" si="7"/>
        <v>168</v>
      </c>
      <c r="X58" s="140">
        <v>1</v>
      </c>
      <c r="Y58" s="138">
        <v>1</v>
      </c>
      <c r="Z58" s="138">
        <v>2</v>
      </c>
      <c r="AA58" s="143">
        <v>2</v>
      </c>
    </row>
    <row r="59" spans="2:27" ht="15" customHeight="1">
      <c r="B59" s="97" t="s">
        <v>90</v>
      </c>
      <c r="C59" s="20"/>
      <c r="D59" s="20"/>
      <c r="E59" s="33">
        <v>41</v>
      </c>
      <c r="F59" s="140">
        <v>42</v>
      </c>
      <c r="G59" s="141">
        <v>76</v>
      </c>
      <c r="H59" s="140">
        <v>12</v>
      </c>
      <c r="I59" s="138">
        <v>22</v>
      </c>
      <c r="J59" s="138">
        <v>1</v>
      </c>
      <c r="K59" s="138">
        <v>5</v>
      </c>
      <c r="L59" s="71">
        <f t="shared" si="4"/>
        <v>13</v>
      </c>
      <c r="M59" s="88">
        <f t="shared" si="5"/>
        <v>27</v>
      </c>
      <c r="N59" s="142">
        <v>1</v>
      </c>
      <c r="O59" s="138">
        <v>1</v>
      </c>
      <c r="P59" s="138">
        <v>21</v>
      </c>
      <c r="Q59" s="141">
        <v>23</v>
      </c>
      <c r="R59" s="140">
        <v>278</v>
      </c>
      <c r="S59" s="143">
        <v>435</v>
      </c>
      <c r="T59" s="147">
        <v>56</v>
      </c>
      <c r="U59" s="151">
        <v>30</v>
      </c>
      <c r="V59" s="148">
        <f t="shared" si="6"/>
        <v>228</v>
      </c>
      <c r="W59" s="152">
        <f t="shared" si="7"/>
        <v>399</v>
      </c>
      <c r="X59" s="140">
        <v>1</v>
      </c>
      <c r="Y59" s="138">
        <v>1</v>
      </c>
      <c r="Z59" s="138">
        <v>10</v>
      </c>
      <c r="AA59" s="143">
        <v>10</v>
      </c>
    </row>
    <row r="60" spans="2:27" ht="15" customHeight="1">
      <c r="B60" s="97" t="s">
        <v>91</v>
      </c>
      <c r="C60" s="20"/>
      <c r="D60" s="20"/>
      <c r="E60" s="33">
        <v>42</v>
      </c>
      <c r="F60" s="140">
        <v>66</v>
      </c>
      <c r="G60" s="141">
        <v>104</v>
      </c>
      <c r="H60" s="140">
        <v>16</v>
      </c>
      <c r="I60" s="138">
        <v>33</v>
      </c>
      <c r="J60" s="138"/>
      <c r="K60" s="138">
        <v>2</v>
      </c>
      <c r="L60" s="71">
        <f t="shared" si="4"/>
        <v>16</v>
      </c>
      <c r="M60" s="88">
        <f t="shared" si="5"/>
        <v>35</v>
      </c>
      <c r="N60" s="142">
        <v>8</v>
      </c>
      <c r="O60" s="138">
        <v>2</v>
      </c>
      <c r="P60" s="138">
        <v>51</v>
      </c>
      <c r="Q60" s="141">
        <v>61</v>
      </c>
      <c r="R60" s="140">
        <v>382</v>
      </c>
      <c r="S60" s="143">
        <v>603</v>
      </c>
      <c r="T60" s="147">
        <v>81</v>
      </c>
      <c r="U60" s="151">
        <v>23</v>
      </c>
      <c r="V60" s="148">
        <f t="shared" si="6"/>
        <v>355</v>
      </c>
      <c r="W60" s="152">
        <f t="shared" si="7"/>
        <v>595</v>
      </c>
      <c r="X60" s="140">
        <v>6</v>
      </c>
      <c r="Y60" s="138">
        <v>7</v>
      </c>
      <c r="Z60" s="138">
        <v>21</v>
      </c>
      <c r="AA60" s="143">
        <v>21</v>
      </c>
    </row>
    <row r="61" spans="2:27" ht="15" customHeight="1">
      <c r="B61" s="97" t="s">
        <v>92</v>
      </c>
      <c r="C61" s="20"/>
      <c r="D61" s="20"/>
      <c r="E61" s="107">
        <v>43</v>
      </c>
      <c r="F61" s="140">
        <v>1649</v>
      </c>
      <c r="G61" s="141">
        <v>3189</v>
      </c>
      <c r="H61" s="140">
        <v>531</v>
      </c>
      <c r="I61" s="138">
        <v>1157</v>
      </c>
      <c r="J61" s="138">
        <v>19</v>
      </c>
      <c r="K61" s="138">
        <v>71</v>
      </c>
      <c r="L61" s="71">
        <f t="shared" si="4"/>
        <v>550</v>
      </c>
      <c r="M61" s="88">
        <f t="shared" si="5"/>
        <v>1228</v>
      </c>
      <c r="N61" s="142">
        <v>122</v>
      </c>
      <c r="O61" s="138">
        <v>4</v>
      </c>
      <c r="P61" s="138">
        <v>304</v>
      </c>
      <c r="Q61" s="141">
        <v>431</v>
      </c>
      <c r="R61" s="140">
        <v>4867</v>
      </c>
      <c r="S61" s="143">
        <v>7460</v>
      </c>
      <c r="T61" s="147">
        <v>1001</v>
      </c>
      <c r="U61" s="151">
        <v>226</v>
      </c>
      <c r="V61" s="148">
        <f t="shared" si="6"/>
        <v>4621</v>
      </c>
      <c r="W61" s="152">
        <f t="shared" si="7"/>
        <v>7892</v>
      </c>
      <c r="X61" s="140">
        <v>95</v>
      </c>
      <c r="Y61" s="138">
        <v>98</v>
      </c>
      <c r="Z61" s="138">
        <v>373</v>
      </c>
      <c r="AA61" s="143">
        <v>373</v>
      </c>
    </row>
    <row r="62" spans="2:27" ht="15" customHeight="1">
      <c r="B62" s="97" t="s">
        <v>93</v>
      </c>
      <c r="C62" s="20"/>
      <c r="D62" s="20"/>
      <c r="E62" s="33">
        <v>44</v>
      </c>
      <c r="F62" s="140">
        <v>560</v>
      </c>
      <c r="G62" s="141">
        <v>919</v>
      </c>
      <c r="H62" s="140">
        <v>141</v>
      </c>
      <c r="I62" s="138">
        <v>310</v>
      </c>
      <c r="J62" s="138">
        <v>4</v>
      </c>
      <c r="K62" s="138">
        <v>15</v>
      </c>
      <c r="L62" s="71">
        <f t="shared" si="4"/>
        <v>145</v>
      </c>
      <c r="M62" s="88">
        <f t="shared" si="5"/>
        <v>325</v>
      </c>
      <c r="N62" s="142">
        <v>51</v>
      </c>
      <c r="O62" s="138"/>
      <c r="P62" s="138">
        <v>130</v>
      </c>
      <c r="Q62" s="141">
        <v>182</v>
      </c>
      <c r="R62" s="140">
        <v>1760</v>
      </c>
      <c r="S62" s="143">
        <v>2552</v>
      </c>
      <c r="T62" s="147">
        <v>400</v>
      </c>
      <c r="U62" s="151">
        <v>149</v>
      </c>
      <c r="V62" s="148">
        <f t="shared" si="6"/>
        <v>1538</v>
      </c>
      <c r="W62" s="152">
        <f t="shared" si="7"/>
        <v>2510</v>
      </c>
      <c r="X62" s="140">
        <v>24</v>
      </c>
      <c r="Y62" s="138">
        <v>25</v>
      </c>
      <c r="Z62" s="138">
        <v>172</v>
      </c>
      <c r="AA62" s="143">
        <v>172</v>
      </c>
    </row>
    <row r="63" spans="2:27" ht="15" customHeight="1">
      <c r="B63" s="97" t="s">
        <v>94</v>
      </c>
      <c r="C63" s="20"/>
      <c r="D63" s="20"/>
      <c r="E63" s="33">
        <v>45</v>
      </c>
      <c r="F63" s="140">
        <v>99</v>
      </c>
      <c r="G63" s="141">
        <v>162</v>
      </c>
      <c r="H63" s="140">
        <v>22</v>
      </c>
      <c r="I63" s="138">
        <v>46</v>
      </c>
      <c r="J63" s="138">
        <v>2</v>
      </c>
      <c r="K63" s="138">
        <v>10</v>
      </c>
      <c r="L63" s="71">
        <f t="shared" si="4"/>
        <v>24</v>
      </c>
      <c r="M63" s="88">
        <f t="shared" si="5"/>
        <v>56</v>
      </c>
      <c r="N63" s="142">
        <v>10</v>
      </c>
      <c r="O63" s="138"/>
      <c r="P63" s="138">
        <v>32</v>
      </c>
      <c r="Q63" s="141">
        <v>43</v>
      </c>
      <c r="R63" s="140">
        <v>543</v>
      </c>
      <c r="S63" s="143">
        <v>790</v>
      </c>
      <c r="T63" s="147">
        <v>125</v>
      </c>
      <c r="U63" s="151">
        <v>34</v>
      </c>
      <c r="V63" s="148">
        <f t="shared" si="6"/>
        <v>451</v>
      </c>
      <c r="W63" s="152">
        <f t="shared" si="7"/>
        <v>730</v>
      </c>
      <c r="X63" s="140">
        <v>7</v>
      </c>
      <c r="Y63" s="138">
        <v>7</v>
      </c>
      <c r="Z63" s="138">
        <v>30</v>
      </c>
      <c r="AA63" s="143">
        <v>30</v>
      </c>
    </row>
    <row r="64" spans="2:27" ht="15" customHeight="1">
      <c r="B64" s="97" t="s">
        <v>95</v>
      </c>
      <c r="C64" s="20"/>
      <c r="D64" s="20"/>
      <c r="E64" s="33">
        <v>47</v>
      </c>
      <c r="F64" s="140">
        <v>128</v>
      </c>
      <c r="G64" s="141">
        <v>240</v>
      </c>
      <c r="H64" s="140">
        <v>42</v>
      </c>
      <c r="I64" s="138">
        <v>94</v>
      </c>
      <c r="J64" s="138"/>
      <c r="K64" s="138">
        <v>1</v>
      </c>
      <c r="L64" s="71">
        <f t="shared" si="4"/>
        <v>42</v>
      </c>
      <c r="M64" s="88">
        <f t="shared" si="5"/>
        <v>95</v>
      </c>
      <c r="N64" s="142">
        <v>11</v>
      </c>
      <c r="O64" s="138">
        <v>1</v>
      </c>
      <c r="P64" s="138">
        <v>26</v>
      </c>
      <c r="Q64" s="141">
        <v>38</v>
      </c>
      <c r="R64" s="140">
        <v>677</v>
      </c>
      <c r="S64" s="143">
        <v>951</v>
      </c>
      <c r="T64" s="147">
        <v>153</v>
      </c>
      <c r="U64" s="151">
        <v>38</v>
      </c>
      <c r="V64" s="148">
        <f t="shared" si="6"/>
        <v>566</v>
      </c>
      <c r="W64" s="152">
        <f t="shared" si="7"/>
        <v>893</v>
      </c>
      <c r="X64" s="140">
        <v>7</v>
      </c>
      <c r="Y64" s="138">
        <v>7</v>
      </c>
      <c r="Z64" s="138">
        <v>21</v>
      </c>
      <c r="AA64" s="143">
        <v>21</v>
      </c>
    </row>
    <row r="65" spans="2:27" ht="15" customHeight="1">
      <c r="B65" s="97" t="s">
        <v>96</v>
      </c>
      <c r="C65" s="20">
        <v>1</v>
      </c>
      <c r="D65" s="20" t="s">
        <v>52</v>
      </c>
      <c r="E65" s="33">
        <v>39</v>
      </c>
      <c r="F65" s="140">
        <v>12</v>
      </c>
      <c r="G65" s="141">
        <v>23</v>
      </c>
      <c r="H65" s="140">
        <v>2</v>
      </c>
      <c r="I65" s="138">
        <v>3</v>
      </c>
      <c r="J65" s="138"/>
      <c r="K65" s="138"/>
      <c r="L65" s="71">
        <f t="shared" si="4"/>
        <v>2</v>
      </c>
      <c r="M65" s="88">
        <f t="shared" si="5"/>
        <v>3</v>
      </c>
      <c r="N65" s="142"/>
      <c r="O65" s="138"/>
      <c r="P65" s="138">
        <v>3</v>
      </c>
      <c r="Q65" s="141">
        <v>3</v>
      </c>
      <c r="R65" s="140">
        <v>39</v>
      </c>
      <c r="S65" s="143">
        <v>76</v>
      </c>
      <c r="T65" s="147">
        <v>6</v>
      </c>
      <c r="U65" s="151">
        <v>1</v>
      </c>
      <c r="V65" s="148">
        <f t="shared" si="6"/>
        <v>37</v>
      </c>
      <c r="W65" s="152">
        <f t="shared" si="7"/>
        <v>75</v>
      </c>
      <c r="X65" s="140"/>
      <c r="Y65" s="138"/>
      <c r="Z65" s="138">
        <v>3</v>
      </c>
      <c r="AA65" s="143">
        <v>3</v>
      </c>
    </row>
    <row r="66" spans="2:27" ht="15" customHeight="1">
      <c r="B66" s="97" t="s">
        <v>105</v>
      </c>
      <c r="C66" s="20">
        <v>1</v>
      </c>
      <c r="D66" s="20" t="s">
        <v>47</v>
      </c>
      <c r="E66" s="107">
        <v>46</v>
      </c>
      <c r="F66" s="140">
        <v>7</v>
      </c>
      <c r="G66" s="141">
        <v>8</v>
      </c>
      <c r="H66" s="140">
        <v>1</v>
      </c>
      <c r="I66" s="138">
        <v>1</v>
      </c>
      <c r="J66" s="138"/>
      <c r="K66" s="138"/>
      <c r="L66" s="71">
        <f t="shared" si="4"/>
        <v>1</v>
      </c>
      <c r="M66" s="88">
        <f t="shared" si="5"/>
        <v>1</v>
      </c>
      <c r="N66" s="142">
        <v>1</v>
      </c>
      <c r="O66" s="138"/>
      <c r="P66" s="138">
        <v>6</v>
      </c>
      <c r="Q66" s="141">
        <v>7</v>
      </c>
      <c r="R66" s="140">
        <v>58</v>
      </c>
      <c r="S66" s="143">
        <v>81</v>
      </c>
      <c r="T66" s="147">
        <v>11</v>
      </c>
      <c r="U66" s="151">
        <v>7</v>
      </c>
      <c r="V66" s="148">
        <f t="shared" si="6"/>
        <v>48</v>
      </c>
      <c r="W66" s="152">
        <f t="shared" si="7"/>
        <v>71</v>
      </c>
      <c r="X66" s="140">
        <v>1</v>
      </c>
      <c r="Y66" s="138">
        <v>1</v>
      </c>
      <c r="Z66" s="138">
        <v>5</v>
      </c>
      <c r="AA66" s="143">
        <v>5</v>
      </c>
    </row>
    <row r="67" spans="2:27" ht="15" customHeight="1">
      <c r="B67" s="97" t="s">
        <v>106</v>
      </c>
      <c r="C67" s="20"/>
      <c r="D67" s="20"/>
      <c r="E67" s="33">
        <v>48</v>
      </c>
      <c r="F67" s="140">
        <v>60</v>
      </c>
      <c r="G67" s="141">
        <v>94</v>
      </c>
      <c r="H67" s="140">
        <v>15</v>
      </c>
      <c r="I67" s="138">
        <v>25</v>
      </c>
      <c r="J67" s="138">
        <v>1</v>
      </c>
      <c r="K67" s="138">
        <v>5</v>
      </c>
      <c r="L67" s="71">
        <f t="shared" si="4"/>
        <v>16</v>
      </c>
      <c r="M67" s="88">
        <f t="shared" si="5"/>
        <v>30</v>
      </c>
      <c r="N67" s="142">
        <v>1</v>
      </c>
      <c r="O67" s="138"/>
      <c r="P67" s="138">
        <v>21</v>
      </c>
      <c r="Q67" s="141">
        <v>23</v>
      </c>
      <c r="R67" s="140">
        <v>279</v>
      </c>
      <c r="S67" s="143">
        <v>438</v>
      </c>
      <c r="T67" s="147">
        <v>49</v>
      </c>
      <c r="U67" s="151">
        <v>26</v>
      </c>
      <c r="V67" s="148">
        <f t="shared" si="6"/>
        <v>243</v>
      </c>
      <c r="W67" s="152">
        <f t="shared" si="7"/>
        <v>416</v>
      </c>
      <c r="X67" s="140">
        <v>4</v>
      </c>
      <c r="Y67" s="138">
        <v>6</v>
      </c>
      <c r="Z67" s="138">
        <v>15</v>
      </c>
      <c r="AA67" s="143">
        <v>15</v>
      </c>
    </row>
    <row r="68" spans="2:27" ht="15" customHeight="1">
      <c r="B68" s="97" t="s">
        <v>107</v>
      </c>
      <c r="C68" s="20"/>
      <c r="D68" s="20"/>
      <c r="E68" s="107">
        <v>49</v>
      </c>
      <c r="F68" s="140">
        <v>424</v>
      </c>
      <c r="G68" s="141">
        <v>848</v>
      </c>
      <c r="H68" s="140">
        <v>125</v>
      </c>
      <c r="I68" s="138">
        <v>267</v>
      </c>
      <c r="J68" s="138">
        <v>10</v>
      </c>
      <c r="K68" s="138">
        <v>40</v>
      </c>
      <c r="L68" s="71">
        <f t="shared" si="4"/>
        <v>135</v>
      </c>
      <c r="M68" s="88">
        <f t="shared" si="5"/>
        <v>307</v>
      </c>
      <c r="N68" s="142">
        <v>70</v>
      </c>
      <c r="O68" s="138"/>
      <c r="P68" s="138">
        <v>109</v>
      </c>
      <c r="Q68" s="141">
        <v>180</v>
      </c>
      <c r="R68" s="140">
        <v>2042</v>
      </c>
      <c r="S68" s="143">
        <v>3121</v>
      </c>
      <c r="T68" s="147">
        <v>462</v>
      </c>
      <c r="U68" s="151">
        <v>136</v>
      </c>
      <c r="V68" s="148">
        <f t="shared" si="6"/>
        <v>1759</v>
      </c>
      <c r="W68" s="152">
        <f t="shared" si="7"/>
        <v>3010</v>
      </c>
      <c r="X68" s="140">
        <v>20</v>
      </c>
      <c r="Y68" s="138">
        <v>22</v>
      </c>
      <c r="Z68" s="138">
        <v>111</v>
      </c>
      <c r="AA68" s="143">
        <v>111</v>
      </c>
    </row>
    <row r="69" spans="2:27" ht="15" customHeight="1">
      <c r="B69" s="97" t="s">
        <v>108</v>
      </c>
      <c r="C69" s="20">
        <v>1</v>
      </c>
      <c r="D69" s="20" t="s">
        <v>75</v>
      </c>
      <c r="E69" s="33">
        <v>50</v>
      </c>
      <c r="F69" s="140">
        <v>25</v>
      </c>
      <c r="G69" s="141">
        <v>41</v>
      </c>
      <c r="H69" s="140">
        <v>2</v>
      </c>
      <c r="I69" s="138">
        <v>7</v>
      </c>
      <c r="J69" s="138"/>
      <c r="K69" s="138"/>
      <c r="L69" s="71">
        <f t="shared" si="4"/>
        <v>2</v>
      </c>
      <c r="M69" s="88">
        <f t="shared" si="5"/>
        <v>7</v>
      </c>
      <c r="N69" s="142">
        <v>21</v>
      </c>
      <c r="O69" s="138"/>
      <c r="P69" s="138">
        <v>65</v>
      </c>
      <c r="Q69" s="141">
        <v>86</v>
      </c>
      <c r="R69" s="140">
        <v>182</v>
      </c>
      <c r="S69" s="143">
        <v>269</v>
      </c>
      <c r="T69" s="147">
        <v>74</v>
      </c>
      <c r="U69" s="151">
        <v>22</v>
      </c>
      <c r="V69" s="148">
        <f t="shared" si="6"/>
        <v>174</v>
      </c>
      <c r="W69" s="152">
        <f t="shared" si="7"/>
        <v>266</v>
      </c>
      <c r="X69" s="140">
        <v>4</v>
      </c>
      <c r="Y69" s="138">
        <v>4</v>
      </c>
      <c r="Z69" s="138">
        <v>7</v>
      </c>
      <c r="AA69" s="143">
        <v>7</v>
      </c>
    </row>
    <row r="70" spans="2:27" ht="15" customHeight="1">
      <c r="B70" s="97" t="s">
        <v>109</v>
      </c>
      <c r="C70" s="20" t="s">
        <v>63</v>
      </c>
      <c r="D70" s="20"/>
      <c r="E70" s="33">
        <v>51</v>
      </c>
      <c r="F70" s="140">
        <v>163</v>
      </c>
      <c r="G70" s="141">
        <v>241</v>
      </c>
      <c r="H70" s="140">
        <v>38</v>
      </c>
      <c r="I70" s="138">
        <v>74</v>
      </c>
      <c r="J70" s="138">
        <v>2</v>
      </c>
      <c r="K70" s="138">
        <v>8</v>
      </c>
      <c r="L70" s="71">
        <f t="shared" si="4"/>
        <v>40</v>
      </c>
      <c r="M70" s="88">
        <f t="shared" si="5"/>
        <v>82</v>
      </c>
      <c r="N70" s="142">
        <v>17</v>
      </c>
      <c r="O70" s="138"/>
      <c r="P70" s="138">
        <v>57</v>
      </c>
      <c r="Q70" s="141">
        <v>75</v>
      </c>
      <c r="R70" s="140">
        <v>1678</v>
      </c>
      <c r="S70" s="143">
        <v>2036</v>
      </c>
      <c r="T70" s="147">
        <v>373</v>
      </c>
      <c r="U70" s="151">
        <v>133</v>
      </c>
      <c r="V70" s="148">
        <f t="shared" si="6"/>
        <v>1287</v>
      </c>
      <c r="W70" s="152">
        <f t="shared" si="7"/>
        <v>1687</v>
      </c>
      <c r="X70" s="140">
        <v>17</v>
      </c>
      <c r="Y70" s="138">
        <v>21</v>
      </c>
      <c r="Z70" s="138">
        <v>66</v>
      </c>
      <c r="AA70" s="143">
        <v>66</v>
      </c>
    </row>
    <row r="71" spans="2:27" ht="15" customHeight="1">
      <c r="B71" s="97" t="s">
        <v>110</v>
      </c>
      <c r="C71" s="20"/>
      <c r="D71" s="20"/>
      <c r="E71" s="107">
        <v>52</v>
      </c>
      <c r="F71" s="140">
        <v>162</v>
      </c>
      <c r="G71" s="141">
        <v>234</v>
      </c>
      <c r="H71" s="140">
        <v>19</v>
      </c>
      <c r="I71" s="138">
        <v>42</v>
      </c>
      <c r="J71" s="138"/>
      <c r="K71" s="138">
        <v>2</v>
      </c>
      <c r="L71" s="71">
        <f t="shared" si="4"/>
        <v>19</v>
      </c>
      <c r="M71" s="88">
        <f t="shared" si="5"/>
        <v>44</v>
      </c>
      <c r="N71" s="142">
        <v>96</v>
      </c>
      <c r="O71" s="138">
        <v>2</v>
      </c>
      <c r="P71" s="138">
        <v>119</v>
      </c>
      <c r="Q71" s="141">
        <v>158</v>
      </c>
      <c r="R71" s="140">
        <v>776</v>
      </c>
      <c r="S71" s="143">
        <v>991</v>
      </c>
      <c r="T71" s="147">
        <v>235</v>
      </c>
      <c r="U71" s="151">
        <v>55</v>
      </c>
      <c r="V71" s="148">
        <f t="shared" si="6"/>
        <v>663</v>
      </c>
      <c r="W71" s="152">
        <f t="shared" si="7"/>
        <v>903</v>
      </c>
      <c r="X71" s="140">
        <v>13</v>
      </c>
      <c r="Y71" s="138">
        <v>13</v>
      </c>
      <c r="Z71" s="138">
        <v>35</v>
      </c>
      <c r="AA71" s="143">
        <v>35</v>
      </c>
    </row>
    <row r="72" spans="2:27" ht="15" customHeight="1">
      <c r="B72" s="97" t="s">
        <v>111</v>
      </c>
      <c r="C72" s="20">
        <v>1</v>
      </c>
      <c r="D72" s="20" t="s">
        <v>47</v>
      </c>
      <c r="E72" s="33">
        <v>53</v>
      </c>
      <c r="F72" s="140">
        <v>7</v>
      </c>
      <c r="G72" s="141">
        <v>7</v>
      </c>
      <c r="H72" s="140">
        <v>1</v>
      </c>
      <c r="I72" s="138">
        <v>2</v>
      </c>
      <c r="J72" s="138"/>
      <c r="K72" s="138"/>
      <c r="L72" s="71">
        <f t="shared" si="4"/>
        <v>1</v>
      </c>
      <c r="M72" s="88">
        <f t="shared" si="5"/>
        <v>2</v>
      </c>
      <c r="N72" s="142"/>
      <c r="O72" s="138"/>
      <c r="P72" s="138">
        <v>5</v>
      </c>
      <c r="Q72" s="141">
        <v>5</v>
      </c>
      <c r="R72" s="140">
        <v>53</v>
      </c>
      <c r="S72" s="143">
        <v>76</v>
      </c>
      <c r="T72" s="147">
        <v>14</v>
      </c>
      <c r="U72" s="151"/>
      <c r="V72" s="148">
        <f t="shared" si="6"/>
        <v>45</v>
      </c>
      <c r="W72" s="152">
        <f t="shared" si="7"/>
        <v>69</v>
      </c>
      <c r="X72" s="140">
        <v>1</v>
      </c>
      <c r="Y72" s="138">
        <v>1</v>
      </c>
      <c r="Z72" s="138">
        <v>2</v>
      </c>
      <c r="AA72" s="143">
        <v>2</v>
      </c>
    </row>
    <row r="73" spans="2:27" ht="15" customHeight="1">
      <c r="B73" s="97" t="s">
        <v>112</v>
      </c>
      <c r="C73" s="20"/>
      <c r="D73" s="20"/>
      <c r="E73" s="33">
        <v>54</v>
      </c>
      <c r="F73" s="140">
        <v>126</v>
      </c>
      <c r="G73" s="141">
        <v>200</v>
      </c>
      <c r="H73" s="140">
        <v>25</v>
      </c>
      <c r="I73" s="138">
        <v>55</v>
      </c>
      <c r="J73" s="138"/>
      <c r="K73" s="138">
        <v>3</v>
      </c>
      <c r="L73" s="71">
        <f t="shared" si="4"/>
        <v>25</v>
      </c>
      <c r="M73" s="88">
        <f t="shared" si="5"/>
        <v>58</v>
      </c>
      <c r="N73" s="142">
        <v>26</v>
      </c>
      <c r="O73" s="138">
        <v>2</v>
      </c>
      <c r="P73" s="138">
        <v>45</v>
      </c>
      <c r="Q73" s="141">
        <v>73</v>
      </c>
      <c r="R73" s="140">
        <v>785</v>
      </c>
      <c r="S73" s="143">
        <v>1072</v>
      </c>
      <c r="T73" s="147">
        <v>199</v>
      </c>
      <c r="U73" s="151">
        <v>62</v>
      </c>
      <c r="V73" s="148">
        <f t="shared" si="6"/>
        <v>622</v>
      </c>
      <c r="W73" s="152">
        <f t="shared" si="7"/>
        <v>942</v>
      </c>
      <c r="X73" s="140">
        <v>10</v>
      </c>
      <c r="Y73" s="138">
        <v>10</v>
      </c>
      <c r="Z73" s="138">
        <v>48</v>
      </c>
      <c r="AA73" s="143">
        <v>48</v>
      </c>
    </row>
    <row r="74" spans="2:27" ht="15" customHeight="1">
      <c r="B74" s="97" t="s">
        <v>113</v>
      </c>
      <c r="C74" s="20">
        <v>1</v>
      </c>
      <c r="D74" s="20" t="s">
        <v>52</v>
      </c>
      <c r="E74" s="107">
        <v>55</v>
      </c>
      <c r="F74" s="140">
        <v>14</v>
      </c>
      <c r="G74" s="141">
        <v>28</v>
      </c>
      <c r="H74" s="140">
        <v>4</v>
      </c>
      <c r="I74" s="138">
        <v>7</v>
      </c>
      <c r="J74" s="138"/>
      <c r="K74" s="138"/>
      <c r="L74" s="71">
        <f t="shared" si="4"/>
        <v>4</v>
      </c>
      <c r="M74" s="88">
        <f t="shared" si="5"/>
        <v>7</v>
      </c>
      <c r="N74" s="142">
        <v>2</v>
      </c>
      <c r="O74" s="138"/>
      <c r="P74" s="138">
        <v>7</v>
      </c>
      <c r="Q74" s="141">
        <v>9</v>
      </c>
      <c r="R74" s="140">
        <v>56</v>
      </c>
      <c r="S74" s="143">
        <v>100</v>
      </c>
      <c r="T74" s="147">
        <v>11</v>
      </c>
      <c r="U74" s="151">
        <v>4</v>
      </c>
      <c r="V74" s="148">
        <f t="shared" si="6"/>
        <v>54</v>
      </c>
      <c r="W74" s="152">
        <f t="shared" si="7"/>
        <v>101</v>
      </c>
      <c r="X74" s="140"/>
      <c r="Y74" s="138"/>
      <c r="Z74" s="138">
        <v>4</v>
      </c>
      <c r="AA74" s="143">
        <v>4</v>
      </c>
    </row>
    <row r="75" spans="2:27" ht="15" customHeight="1">
      <c r="B75" s="97" t="s">
        <v>114</v>
      </c>
      <c r="C75" s="20"/>
      <c r="D75" s="20"/>
      <c r="E75" s="33">
        <v>56</v>
      </c>
      <c r="F75" s="140">
        <v>26</v>
      </c>
      <c r="G75" s="141">
        <v>42</v>
      </c>
      <c r="H75" s="140">
        <v>4</v>
      </c>
      <c r="I75" s="138">
        <v>7</v>
      </c>
      <c r="J75" s="138">
        <v>1</v>
      </c>
      <c r="K75" s="138">
        <v>5</v>
      </c>
      <c r="L75" s="71">
        <f t="shared" si="4"/>
        <v>5</v>
      </c>
      <c r="M75" s="88">
        <f t="shared" si="5"/>
        <v>12</v>
      </c>
      <c r="N75" s="142"/>
      <c r="O75" s="138"/>
      <c r="P75" s="138">
        <v>5</v>
      </c>
      <c r="Q75" s="141">
        <v>6</v>
      </c>
      <c r="R75" s="140">
        <v>264</v>
      </c>
      <c r="S75" s="143">
        <v>350</v>
      </c>
      <c r="T75" s="147">
        <v>62</v>
      </c>
      <c r="U75" s="151">
        <v>24</v>
      </c>
      <c r="V75" s="148">
        <f t="shared" si="6"/>
        <v>189</v>
      </c>
      <c r="W75" s="152">
        <f t="shared" si="7"/>
        <v>282</v>
      </c>
      <c r="X75" s="140">
        <v>3</v>
      </c>
      <c r="Y75" s="138">
        <v>3</v>
      </c>
      <c r="Z75" s="138">
        <v>14</v>
      </c>
      <c r="AA75" s="143">
        <v>14</v>
      </c>
    </row>
    <row r="76" spans="2:27" ht="15" customHeight="1">
      <c r="B76" s="97" t="s">
        <v>115</v>
      </c>
      <c r="C76" s="20" t="s">
        <v>63</v>
      </c>
      <c r="D76" s="20"/>
      <c r="E76" s="33">
        <v>57</v>
      </c>
      <c r="F76" s="140">
        <v>188</v>
      </c>
      <c r="G76" s="141">
        <v>302</v>
      </c>
      <c r="H76" s="140">
        <v>37</v>
      </c>
      <c r="I76" s="138">
        <v>68</v>
      </c>
      <c r="J76" s="138">
        <v>2</v>
      </c>
      <c r="K76" s="138">
        <v>9</v>
      </c>
      <c r="L76" s="71">
        <f t="shared" si="4"/>
        <v>39</v>
      </c>
      <c r="M76" s="88">
        <f t="shared" si="5"/>
        <v>77</v>
      </c>
      <c r="N76" s="142">
        <v>71</v>
      </c>
      <c r="O76" s="138"/>
      <c r="P76" s="138">
        <v>68</v>
      </c>
      <c r="Q76" s="141">
        <v>140</v>
      </c>
      <c r="R76" s="140">
        <v>1375</v>
      </c>
      <c r="S76" s="143">
        <v>1715</v>
      </c>
      <c r="T76" s="147">
        <v>316</v>
      </c>
      <c r="U76" s="151">
        <v>106</v>
      </c>
      <c r="V76" s="148">
        <f t="shared" si="6"/>
        <v>1132</v>
      </c>
      <c r="W76" s="152">
        <f t="shared" si="7"/>
        <v>1510</v>
      </c>
      <c r="X76" s="140">
        <v>14</v>
      </c>
      <c r="Y76" s="138">
        <v>14</v>
      </c>
      <c r="Z76" s="138">
        <v>41</v>
      </c>
      <c r="AA76" s="143">
        <v>41</v>
      </c>
    </row>
    <row r="77" spans="2:27" ht="15" customHeight="1">
      <c r="B77" s="97" t="s">
        <v>116</v>
      </c>
      <c r="C77" s="20"/>
      <c r="D77" s="20"/>
      <c r="E77" s="107">
        <v>58</v>
      </c>
      <c r="F77" s="140">
        <v>191</v>
      </c>
      <c r="G77" s="141">
        <v>329</v>
      </c>
      <c r="H77" s="140">
        <v>38</v>
      </c>
      <c r="I77" s="138">
        <v>70</v>
      </c>
      <c r="J77" s="138">
        <v>4</v>
      </c>
      <c r="K77" s="138">
        <v>14</v>
      </c>
      <c r="L77" s="71">
        <f t="shared" si="4"/>
        <v>42</v>
      </c>
      <c r="M77" s="88">
        <f t="shared" si="5"/>
        <v>84</v>
      </c>
      <c r="N77" s="142">
        <v>10</v>
      </c>
      <c r="O77" s="138">
        <v>1</v>
      </c>
      <c r="P77" s="138">
        <v>41</v>
      </c>
      <c r="Q77" s="141">
        <v>52</v>
      </c>
      <c r="R77" s="140">
        <v>631</v>
      </c>
      <c r="S77" s="143">
        <v>972</v>
      </c>
      <c r="T77" s="147">
        <v>137</v>
      </c>
      <c r="U77" s="151">
        <v>41</v>
      </c>
      <c r="V77" s="148">
        <f t="shared" si="6"/>
        <v>547</v>
      </c>
      <c r="W77" s="152">
        <f t="shared" si="7"/>
        <v>930</v>
      </c>
      <c r="X77" s="140">
        <v>17</v>
      </c>
      <c r="Y77" s="138">
        <v>17</v>
      </c>
      <c r="Z77" s="138">
        <v>40</v>
      </c>
      <c r="AA77" s="143">
        <v>40</v>
      </c>
    </row>
    <row r="78" spans="2:27" ht="15" customHeight="1">
      <c r="B78" s="97" t="s">
        <v>117</v>
      </c>
      <c r="C78" s="20"/>
      <c r="D78" s="20"/>
      <c r="E78" s="33">
        <v>59</v>
      </c>
      <c r="F78" s="140">
        <v>586</v>
      </c>
      <c r="G78" s="141">
        <v>1163</v>
      </c>
      <c r="H78" s="140">
        <v>192</v>
      </c>
      <c r="I78" s="138">
        <v>407</v>
      </c>
      <c r="J78" s="138">
        <v>9</v>
      </c>
      <c r="K78" s="138">
        <v>29</v>
      </c>
      <c r="L78" s="71">
        <f t="shared" si="4"/>
        <v>201</v>
      </c>
      <c r="M78" s="88">
        <f t="shared" si="5"/>
        <v>436</v>
      </c>
      <c r="N78" s="142">
        <v>61</v>
      </c>
      <c r="O78" s="138">
        <v>2</v>
      </c>
      <c r="P78" s="138">
        <v>114</v>
      </c>
      <c r="Q78" s="141">
        <v>178</v>
      </c>
      <c r="R78" s="140">
        <v>1969</v>
      </c>
      <c r="S78" s="143">
        <v>3022</v>
      </c>
      <c r="T78" s="147">
        <v>400</v>
      </c>
      <c r="U78" s="151">
        <v>111</v>
      </c>
      <c r="V78" s="148">
        <f t="shared" si="6"/>
        <v>1837</v>
      </c>
      <c r="W78" s="152">
        <f t="shared" si="7"/>
        <v>3125</v>
      </c>
      <c r="X78" s="140">
        <v>20</v>
      </c>
      <c r="Y78" s="138">
        <v>20</v>
      </c>
      <c r="Z78" s="138">
        <v>85</v>
      </c>
      <c r="AA78" s="143">
        <v>85</v>
      </c>
    </row>
    <row r="79" spans="2:27" ht="15" customHeight="1">
      <c r="B79" s="97" t="s">
        <v>118</v>
      </c>
      <c r="C79" s="20"/>
      <c r="D79" s="20"/>
      <c r="E79" s="33">
        <v>60</v>
      </c>
      <c r="F79" s="140">
        <v>76</v>
      </c>
      <c r="G79" s="141">
        <v>120</v>
      </c>
      <c r="H79" s="140">
        <v>20</v>
      </c>
      <c r="I79" s="138">
        <v>45</v>
      </c>
      <c r="J79" s="138"/>
      <c r="K79" s="138">
        <v>2</v>
      </c>
      <c r="L79" s="71">
        <f t="shared" si="4"/>
        <v>20</v>
      </c>
      <c r="M79" s="88">
        <f t="shared" si="5"/>
        <v>47</v>
      </c>
      <c r="N79" s="142">
        <v>15</v>
      </c>
      <c r="O79" s="138"/>
      <c r="P79" s="138">
        <v>33</v>
      </c>
      <c r="Q79" s="141">
        <v>48</v>
      </c>
      <c r="R79" s="140">
        <v>602</v>
      </c>
      <c r="S79" s="143">
        <v>774</v>
      </c>
      <c r="T79" s="147">
        <v>143</v>
      </c>
      <c r="U79" s="151">
        <v>75</v>
      </c>
      <c r="V79" s="148">
        <f t="shared" si="6"/>
        <v>452</v>
      </c>
      <c r="W79" s="152">
        <f t="shared" si="7"/>
        <v>651</v>
      </c>
      <c r="X79" s="140">
        <v>6</v>
      </c>
      <c r="Y79" s="138">
        <v>6</v>
      </c>
      <c r="Z79" s="138">
        <v>23</v>
      </c>
      <c r="AA79" s="143">
        <v>23</v>
      </c>
    </row>
    <row r="80" spans="2:27" ht="15" customHeight="1">
      <c r="B80" s="97" t="s">
        <v>119</v>
      </c>
      <c r="C80" s="20"/>
      <c r="D80" s="20"/>
      <c r="E80" s="107">
        <v>61</v>
      </c>
      <c r="F80" s="140">
        <v>29</v>
      </c>
      <c r="G80" s="141">
        <v>44</v>
      </c>
      <c r="H80" s="140">
        <v>11</v>
      </c>
      <c r="I80" s="138">
        <v>15</v>
      </c>
      <c r="J80" s="138"/>
      <c r="K80" s="138"/>
      <c r="L80" s="71">
        <f t="shared" si="4"/>
        <v>11</v>
      </c>
      <c r="M80" s="88">
        <f t="shared" si="5"/>
        <v>15</v>
      </c>
      <c r="N80" s="142">
        <v>5</v>
      </c>
      <c r="O80" s="138"/>
      <c r="P80" s="138">
        <v>19</v>
      </c>
      <c r="Q80" s="141">
        <v>25</v>
      </c>
      <c r="R80" s="140">
        <v>135</v>
      </c>
      <c r="S80" s="143">
        <v>221</v>
      </c>
      <c r="T80" s="147">
        <v>33</v>
      </c>
      <c r="U80" s="151">
        <v>10</v>
      </c>
      <c r="V80" s="148">
        <f t="shared" si="6"/>
        <v>128</v>
      </c>
      <c r="W80" s="152">
        <f t="shared" si="7"/>
        <v>218</v>
      </c>
      <c r="X80" s="140">
        <v>4</v>
      </c>
      <c r="Y80" s="138">
        <v>4</v>
      </c>
      <c r="Z80" s="138">
        <v>9</v>
      </c>
      <c r="AA80" s="143">
        <v>9</v>
      </c>
    </row>
    <row r="81" spans="2:27" ht="15" customHeight="1">
      <c r="B81" s="97" t="s">
        <v>120</v>
      </c>
      <c r="C81" s="20" t="s">
        <v>63</v>
      </c>
      <c r="D81" s="20"/>
      <c r="E81" s="33">
        <v>62</v>
      </c>
      <c r="F81" s="140">
        <v>822</v>
      </c>
      <c r="G81" s="141">
        <v>1484</v>
      </c>
      <c r="H81" s="140">
        <v>248</v>
      </c>
      <c r="I81" s="138">
        <v>495</v>
      </c>
      <c r="J81" s="138">
        <v>10</v>
      </c>
      <c r="K81" s="138">
        <v>36</v>
      </c>
      <c r="L81" s="71">
        <f t="shared" si="4"/>
        <v>258</v>
      </c>
      <c r="M81" s="88">
        <f t="shared" si="5"/>
        <v>531</v>
      </c>
      <c r="N81" s="142">
        <v>83</v>
      </c>
      <c r="O81" s="138">
        <v>2</v>
      </c>
      <c r="P81" s="138">
        <v>244</v>
      </c>
      <c r="Q81" s="141">
        <v>330</v>
      </c>
      <c r="R81" s="140">
        <v>3112</v>
      </c>
      <c r="S81" s="143">
        <v>4372</v>
      </c>
      <c r="T81" s="147">
        <v>648</v>
      </c>
      <c r="U81" s="151">
        <v>234</v>
      </c>
      <c r="V81" s="148">
        <f t="shared" si="6"/>
        <v>2818</v>
      </c>
      <c r="W81" s="152">
        <f t="shared" si="7"/>
        <v>4351</v>
      </c>
      <c r="X81" s="140">
        <v>30</v>
      </c>
      <c r="Y81" s="138">
        <v>31</v>
      </c>
      <c r="Z81" s="138">
        <v>218</v>
      </c>
      <c r="AA81" s="143">
        <v>218</v>
      </c>
    </row>
    <row r="82" spans="2:27" ht="15" customHeight="1">
      <c r="B82" s="97" t="s">
        <v>121</v>
      </c>
      <c r="C82" s="20">
        <v>1</v>
      </c>
      <c r="D82" s="20" t="s">
        <v>47</v>
      </c>
      <c r="E82" s="33">
        <v>63</v>
      </c>
      <c r="F82" s="140">
        <v>15</v>
      </c>
      <c r="G82" s="141">
        <v>34</v>
      </c>
      <c r="H82" s="140">
        <v>4</v>
      </c>
      <c r="I82" s="138">
        <v>11</v>
      </c>
      <c r="J82" s="138"/>
      <c r="K82" s="138">
        <v>1</v>
      </c>
      <c r="L82" s="71">
        <f t="shared" si="4"/>
        <v>4</v>
      </c>
      <c r="M82" s="88">
        <f t="shared" si="5"/>
        <v>12</v>
      </c>
      <c r="N82" s="142"/>
      <c r="O82" s="138"/>
      <c r="P82" s="138">
        <v>6</v>
      </c>
      <c r="Q82" s="141">
        <v>6</v>
      </c>
      <c r="R82" s="140">
        <v>83</v>
      </c>
      <c r="S82" s="143">
        <v>173</v>
      </c>
      <c r="T82" s="147">
        <v>12</v>
      </c>
      <c r="U82" s="151">
        <v>3</v>
      </c>
      <c r="V82" s="148">
        <f t="shared" si="6"/>
        <v>78</v>
      </c>
      <c r="W82" s="152">
        <f t="shared" si="7"/>
        <v>176</v>
      </c>
      <c r="X82" s="140"/>
      <c r="Y82" s="138"/>
      <c r="Z82" s="138">
        <v>2</v>
      </c>
      <c r="AA82" s="143">
        <v>2</v>
      </c>
    </row>
    <row r="83" spans="2:27" ht="15" customHeight="1">
      <c r="B83" s="97" t="s">
        <v>122</v>
      </c>
      <c r="C83" s="20" t="s">
        <v>63</v>
      </c>
      <c r="D83" s="20"/>
      <c r="E83" s="107">
        <v>64</v>
      </c>
      <c r="F83" s="140">
        <v>15846</v>
      </c>
      <c r="G83" s="141">
        <v>30838</v>
      </c>
      <c r="H83" s="140">
        <v>4164</v>
      </c>
      <c r="I83" s="138">
        <v>9848</v>
      </c>
      <c r="J83" s="138">
        <v>235</v>
      </c>
      <c r="K83" s="138">
        <v>896</v>
      </c>
      <c r="L83" s="71">
        <f t="shared" si="4"/>
        <v>4399</v>
      </c>
      <c r="M83" s="88">
        <f t="shared" si="5"/>
        <v>10744</v>
      </c>
      <c r="N83" s="142">
        <v>797</v>
      </c>
      <c r="O83" s="138">
        <v>14</v>
      </c>
      <c r="P83" s="138">
        <v>2011</v>
      </c>
      <c r="Q83" s="141">
        <v>2823</v>
      </c>
      <c r="R83" s="140">
        <v>21279</v>
      </c>
      <c r="S83" s="143">
        <v>35173</v>
      </c>
      <c r="T83" s="147">
        <v>3713</v>
      </c>
      <c r="U83" s="151">
        <v>348</v>
      </c>
      <c r="V83" s="148">
        <f t="shared" si="6"/>
        <v>24440</v>
      </c>
      <c r="W83" s="152">
        <f t="shared" si="7"/>
        <v>44679</v>
      </c>
      <c r="X83" s="140">
        <v>733</v>
      </c>
      <c r="Y83" s="138">
        <v>743</v>
      </c>
      <c r="Z83" s="138">
        <v>4707</v>
      </c>
      <c r="AA83" s="143">
        <v>4710</v>
      </c>
    </row>
    <row r="84" spans="2:27" ht="15" customHeight="1">
      <c r="B84" s="97" t="s">
        <v>123</v>
      </c>
      <c r="C84" s="20">
        <v>1</v>
      </c>
      <c r="D84" s="20" t="s">
        <v>52</v>
      </c>
      <c r="E84" s="33">
        <v>65</v>
      </c>
      <c r="F84" s="140">
        <v>2</v>
      </c>
      <c r="G84" s="141">
        <v>4</v>
      </c>
      <c r="H84" s="140"/>
      <c r="I84" s="138">
        <v>1</v>
      </c>
      <c r="J84" s="138"/>
      <c r="K84" s="138"/>
      <c r="L84" s="71">
        <f aca="true" t="shared" si="8" ref="L84:L115">SUM(H84,J84)</f>
        <v>0</v>
      </c>
      <c r="M84" s="88">
        <f aca="true" t="shared" si="9" ref="M84:M115">SUM(I84,K84)</f>
        <v>1</v>
      </c>
      <c r="N84" s="142"/>
      <c r="O84" s="138"/>
      <c r="P84" s="138">
        <v>9</v>
      </c>
      <c r="Q84" s="141">
        <v>9</v>
      </c>
      <c r="R84" s="140">
        <v>41</v>
      </c>
      <c r="S84" s="143">
        <v>65</v>
      </c>
      <c r="T84" s="147">
        <v>9</v>
      </c>
      <c r="U84" s="151">
        <v>1</v>
      </c>
      <c r="V84" s="148">
        <f aca="true" t="shared" si="10" ref="V84:V115">SUM(L84+Q84+R84-T84-U84)</f>
        <v>40</v>
      </c>
      <c r="W84" s="152">
        <f aca="true" t="shared" si="11" ref="W84:W115">SUM(M84+Q84+S84-T84-U84)</f>
        <v>65</v>
      </c>
      <c r="X84" s="140"/>
      <c r="Y84" s="138"/>
      <c r="Z84" s="138">
        <v>1</v>
      </c>
      <c r="AA84" s="143">
        <v>1</v>
      </c>
    </row>
    <row r="85" spans="2:27" ht="15" customHeight="1">
      <c r="B85" s="97" t="s">
        <v>124</v>
      </c>
      <c r="C85" s="20">
        <v>1</v>
      </c>
      <c r="D85" s="20" t="s">
        <v>52</v>
      </c>
      <c r="E85" s="33">
        <v>66</v>
      </c>
      <c r="F85" s="140">
        <v>12</v>
      </c>
      <c r="G85" s="141">
        <v>17</v>
      </c>
      <c r="H85" s="140">
        <v>4</v>
      </c>
      <c r="I85" s="138">
        <v>7</v>
      </c>
      <c r="J85" s="138"/>
      <c r="K85" s="138"/>
      <c r="L85" s="71">
        <f t="shared" si="8"/>
        <v>4</v>
      </c>
      <c r="M85" s="88">
        <f t="shared" si="9"/>
        <v>7</v>
      </c>
      <c r="N85" s="142">
        <v>3</v>
      </c>
      <c r="O85" s="138"/>
      <c r="P85" s="138">
        <v>15</v>
      </c>
      <c r="Q85" s="141">
        <v>18</v>
      </c>
      <c r="R85" s="140">
        <v>95</v>
      </c>
      <c r="S85" s="143">
        <v>149</v>
      </c>
      <c r="T85" s="147">
        <v>19</v>
      </c>
      <c r="U85" s="151">
        <v>16</v>
      </c>
      <c r="V85" s="148">
        <f t="shared" si="10"/>
        <v>82</v>
      </c>
      <c r="W85" s="152">
        <f t="shared" si="11"/>
        <v>139</v>
      </c>
      <c r="X85" s="140"/>
      <c r="Y85" s="138"/>
      <c r="Z85" s="138">
        <v>7</v>
      </c>
      <c r="AA85" s="143">
        <v>7</v>
      </c>
    </row>
    <row r="86" spans="2:27" ht="15" customHeight="1">
      <c r="B86" s="97" t="s">
        <v>125</v>
      </c>
      <c r="C86" s="20"/>
      <c r="D86" s="20"/>
      <c r="E86" s="107">
        <v>67</v>
      </c>
      <c r="F86" s="140">
        <v>15</v>
      </c>
      <c r="G86" s="141">
        <v>28</v>
      </c>
      <c r="H86" s="140">
        <v>6</v>
      </c>
      <c r="I86" s="138">
        <v>11</v>
      </c>
      <c r="J86" s="138"/>
      <c r="K86" s="138">
        <v>2</v>
      </c>
      <c r="L86" s="71">
        <f t="shared" si="8"/>
        <v>6</v>
      </c>
      <c r="M86" s="88">
        <f t="shared" si="9"/>
        <v>13</v>
      </c>
      <c r="N86" s="142">
        <v>3</v>
      </c>
      <c r="O86" s="138"/>
      <c r="P86" s="138">
        <v>18</v>
      </c>
      <c r="Q86" s="141">
        <v>21</v>
      </c>
      <c r="R86" s="140">
        <v>138</v>
      </c>
      <c r="S86" s="143">
        <v>238</v>
      </c>
      <c r="T86" s="147">
        <v>28</v>
      </c>
      <c r="U86" s="151">
        <v>11</v>
      </c>
      <c r="V86" s="148">
        <f t="shared" si="10"/>
        <v>126</v>
      </c>
      <c r="W86" s="152">
        <f t="shared" si="11"/>
        <v>233</v>
      </c>
      <c r="X86" s="140">
        <v>3</v>
      </c>
      <c r="Y86" s="138">
        <v>3</v>
      </c>
      <c r="Z86" s="138">
        <v>9</v>
      </c>
      <c r="AA86" s="143">
        <v>9</v>
      </c>
    </row>
    <row r="87" spans="2:27" ht="15" customHeight="1">
      <c r="B87" s="97" t="s">
        <v>126</v>
      </c>
      <c r="C87" s="20">
        <v>1</v>
      </c>
      <c r="D87" s="20" t="s">
        <v>52</v>
      </c>
      <c r="E87" s="33">
        <v>68</v>
      </c>
      <c r="F87" s="140">
        <v>15</v>
      </c>
      <c r="G87" s="141">
        <v>19</v>
      </c>
      <c r="H87" s="140">
        <v>1</v>
      </c>
      <c r="I87" s="138">
        <v>3</v>
      </c>
      <c r="J87" s="138"/>
      <c r="K87" s="138">
        <v>1</v>
      </c>
      <c r="L87" s="71">
        <f t="shared" si="8"/>
        <v>1</v>
      </c>
      <c r="M87" s="88">
        <f t="shared" si="9"/>
        <v>4</v>
      </c>
      <c r="N87" s="142">
        <v>5</v>
      </c>
      <c r="O87" s="138"/>
      <c r="P87" s="138">
        <v>5</v>
      </c>
      <c r="Q87" s="141">
        <v>11</v>
      </c>
      <c r="R87" s="140">
        <v>135</v>
      </c>
      <c r="S87" s="143">
        <v>177</v>
      </c>
      <c r="T87" s="147">
        <v>24</v>
      </c>
      <c r="U87" s="151">
        <v>17</v>
      </c>
      <c r="V87" s="148">
        <f t="shared" si="10"/>
        <v>106</v>
      </c>
      <c r="W87" s="152">
        <f t="shared" si="11"/>
        <v>151</v>
      </c>
      <c r="X87" s="140"/>
      <c r="Y87" s="138"/>
      <c r="Z87" s="138">
        <v>8</v>
      </c>
      <c r="AA87" s="143">
        <v>8</v>
      </c>
    </row>
    <row r="88" spans="2:27" ht="15" customHeight="1">
      <c r="B88" s="97" t="s">
        <v>127</v>
      </c>
      <c r="C88" s="20"/>
      <c r="D88" s="20"/>
      <c r="E88" s="33">
        <v>69</v>
      </c>
      <c r="F88" s="140">
        <v>593</v>
      </c>
      <c r="G88" s="141">
        <v>1148</v>
      </c>
      <c r="H88" s="140">
        <v>154</v>
      </c>
      <c r="I88" s="138">
        <v>325</v>
      </c>
      <c r="J88" s="138">
        <v>11</v>
      </c>
      <c r="K88" s="138">
        <v>42</v>
      </c>
      <c r="L88" s="71">
        <f t="shared" si="8"/>
        <v>165</v>
      </c>
      <c r="M88" s="88">
        <f t="shared" si="9"/>
        <v>367</v>
      </c>
      <c r="N88" s="142">
        <v>26</v>
      </c>
      <c r="O88" s="138"/>
      <c r="P88" s="138">
        <v>116</v>
      </c>
      <c r="Q88" s="141">
        <v>142</v>
      </c>
      <c r="R88" s="140">
        <v>1900</v>
      </c>
      <c r="S88" s="143">
        <v>2934</v>
      </c>
      <c r="T88" s="147">
        <v>426</v>
      </c>
      <c r="U88" s="151">
        <v>109</v>
      </c>
      <c r="V88" s="148">
        <f t="shared" si="10"/>
        <v>1672</v>
      </c>
      <c r="W88" s="152">
        <f t="shared" si="11"/>
        <v>2908</v>
      </c>
      <c r="X88" s="140">
        <v>25</v>
      </c>
      <c r="Y88" s="138">
        <v>26</v>
      </c>
      <c r="Z88" s="138">
        <v>109</v>
      </c>
      <c r="AA88" s="143">
        <v>109</v>
      </c>
    </row>
    <row r="89" spans="2:27" ht="15" customHeight="1">
      <c r="B89" s="97" t="s">
        <v>128</v>
      </c>
      <c r="C89" s="20">
        <v>1</v>
      </c>
      <c r="D89" s="20" t="s">
        <v>75</v>
      </c>
      <c r="E89" s="107">
        <v>70</v>
      </c>
      <c r="F89" s="140">
        <v>15</v>
      </c>
      <c r="G89" s="141">
        <v>23</v>
      </c>
      <c r="H89" s="140">
        <v>6</v>
      </c>
      <c r="I89" s="138">
        <v>8</v>
      </c>
      <c r="J89" s="138"/>
      <c r="K89" s="138"/>
      <c r="L89" s="71">
        <f t="shared" si="8"/>
        <v>6</v>
      </c>
      <c r="M89" s="88">
        <f t="shared" si="9"/>
        <v>8</v>
      </c>
      <c r="N89" s="142">
        <v>3</v>
      </c>
      <c r="O89" s="138"/>
      <c r="P89" s="138">
        <v>4</v>
      </c>
      <c r="Q89" s="141">
        <v>7</v>
      </c>
      <c r="R89" s="140">
        <v>69</v>
      </c>
      <c r="S89" s="143">
        <v>119</v>
      </c>
      <c r="T89" s="147">
        <v>14</v>
      </c>
      <c r="U89" s="151">
        <v>8</v>
      </c>
      <c r="V89" s="148">
        <f t="shared" si="10"/>
        <v>60</v>
      </c>
      <c r="W89" s="152">
        <f t="shared" si="11"/>
        <v>112</v>
      </c>
      <c r="X89" s="140">
        <v>1</v>
      </c>
      <c r="Y89" s="138">
        <v>1</v>
      </c>
      <c r="Z89" s="138">
        <v>5</v>
      </c>
      <c r="AA89" s="143">
        <v>5</v>
      </c>
    </row>
    <row r="90" spans="2:27" ht="15" customHeight="1">
      <c r="B90" s="97" t="s">
        <v>129</v>
      </c>
      <c r="C90" s="20">
        <v>1</v>
      </c>
      <c r="D90" s="20" t="s">
        <v>47</v>
      </c>
      <c r="E90" s="33">
        <v>71</v>
      </c>
      <c r="F90" s="140">
        <v>99</v>
      </c>
      <c r="G90" s="141">
        <v>148</v>
      </c>
      <c r="H90" s="140">
        <v>6</v>
      </c>
      <c r="I90" s="138">
        <v>13</v>
      </c>
      <c r="J90" s="138"/>
      <c r="K90" s="138">
        <v>2</v>
      </c>
      <c r="L90" s="71">
        <f t="shared" si="8"/>
        <v>6</v>
      </c>
      <c r="M90" s="88">
        <f t="shared" si="9"/>
        <v>15</v>
      </c>
      <c r="N90" s="142">
        <v>6</v>
      </c>
      <c r="O90" s="138">
        <v>2</v>
      </c>
      <c r="P90" s="138">
        <v>16</v>
      </c>
      <c r="Q90" s="141">
        <v>26</v>
      </c>
      <c r="R90" s="140">
        <v>228</v>
      </c>
      <c r="S90" s="143">
        <v>418</v>
      </c>
      <c r="T90" s="147">
        <v>47</v>
      </c>
      <c r="U90" s="151">
        <v>14</v>
      </c>
      <c r="V90" s="148">
        <f t="shared" si="10"/>
        <v>199</v>
      </c>
      <c r="W90" s="152">
        <f t="shared" si="11"/>
        <v>398</v>
      </c>
      <c r="X90" s="140">
        <v>2</v>
      </c>
      <c r="Y90" s="138">
        <v>2</v>
      </c>
      <c r="Z90" s="138">
        <v>93</v>
      </c>
      <c r="AA90" s="143">
        <v>93</v>
      </c>
    </row>
    <row r="91" spans="2:27" ht="15" customHeight="1">
      <c r="B91" s="97" t="s">
        <v>130</v>
      </c>
      <c r="C91" s="20"/>
      <c r="D91" s="20"/>
      <c r="E91" s="33">
        <v>72</v>
      </c>
      <c r="F91" s="140">
        <v>76</v>
      </c>
      <c r="G91" s="141">
        <v>146</v>
      </c>
      <c r="H91" s="140">
        <v>20</v>
      </c>
      <c r="I91" s="138">
        <v>38</v>
      </c>
      <c r="J91" s="138">
        <v>1</v>
      </c>
      <c r="K91" s="138">
        <v>5</v>
      </c>
      <c r="L91" s="71">
        <f t="shared" si="8"/>
        <v>21</v>
      </c>
      <c r="M91" s="88">
        <f t="shared" si="9"/>
        <v>43</v>
      </c>
      <c r="N91" s="142">
        <v>8</v>
      </c>
      <c r="O91" s="138"/>
      <c r="P91" s="138">
        <v>35</v>
      </c>
      <c r="Q91" s="141">
        <v>44</v>
      </c>
      <c r="R91" s="140">
        <v>391</v>
      </c>
      <c r="S91" s="143">
        <v>665</v>
      </c>
      <c r="T91" s="147">
        <v>65</v>
      </c>
      <c r="U91" s="151">
        <v>19</v>
      </c>
      <c r="V91" s="148">
        <f t="shared" si="10"/>
        <v>372</v>
      </c>
      <c r="W91" s="152">
        <f t="shared" si="11"/>
        <v>668</v>
      </c>
      <c r="X91" s="140">
        <v>7</v>
      </c>
      <c r="Y91" s="138">
        <v>7</v>
      </c>
      <c r="Z91" s="138">
        <v>29</v>
      </c>
      <c r="AA91" s="143">
        <v>29</v>
      </c>
    </row>
    <row r="92" spans="2:27" ht="15" customHeight="1">
      <c r="B92" s="97" t="s">
        <v>131</v>
      </c>
      <c r="C92" s="20">
        <v>1</v>
      </c>
      <c r="D92" s="20" t="s">
        <v>47</v>
      </c>
      <c r="E92" s="107">
        <v>73</v>
      </c>
      <c r="F92" s="140">
        <v>27</v>
      </c>
      <c r="G92" s="141">
        <v>55</v>
      </c>
      <c r="H92" s="140">
        <v>9</v>
      </c>
      <c r="I92" s="138">
        <v>16</v>
      </c>
      <c r="J92" s="138"/>
      <c r="K92" s="138"/>
      <c r="L92" s="71">
        <f t="shared" si="8"/>
        <v>9</v>
      </c>
      <c r="M92" s="88">
        <f t="shared" si="9"/>
        <v>16</v>
      </c>
      <c r="N92" s="142">
        <v>2</v>
      </c>
      <c r="O92" s="138"/>
      <c r="P92" s="138">
        <v>6</v>
      </c>
      <c r="Q92" s="141">
        <v>8</v>
      </c>
      <c r="R92" s="140">
        <v>123</v>
      </c>
      <c r="S92" s="143">
        <v>204</v>
      </c>
      <c r="T92" s="147">
        <v>20</v>
      </c>
      <c r="U92" s="151">
        <v>8</v>
      </c>
      <c r="V92" s="148">
        <f t="shared" si="10"/>
        <v>112</v>
      </c>
      <c r="W92" s="152">
        <f t="shared" si="11"/>
        <v>200</v>
      </c>
      <c r="X92" s="140">
        <v>2</v>
      </c>
      <c r="Y92" s="138">
        <v>2</v>
      </c>
      <c r="Z92" s="138">
        <v>9</v>
      </c>
      <c r="AA92" s="143">
        <v>9</v>
      </c>
    </row>
    <row r="93" spans="2:27" ht="15" customHeight="1">
      <c r="B93" s="97" t="s">
        <v>132</v>
      </c>
      <c r="C93" s="20">
        <v>1</v>
      </c>
      <c r="D93" s="20" t="s">
        <v>52</v>
      </c>
      <c r="E93" s="33">
        <v>74</v>
      </c>
      <c r="F93" s="140">
        <v>34</v>
      </c>
      <c r="G93" s="141">
        <v>53</v>
      </c>
      <c r="H93" s="140">
        <v>7</v>
      </c>
      <c r="I93" s="138">
        <v>16</v>
      </c>
      <c r="J93" s="138"/>
      <c r="K93" s="138"/>
      <c r="L93" s="71">
        <f t="shared" si="8"/>
        <v>7</v>
      </c>
      <c r="M93" s="88">
        <f t="shared" si="9"/>
        <v>16</v>
      </c>
      <c r="N93" s="142">
        <v>40</v>
      </c>
      <c r="O93" s="138"/>
      <c r="P93" s="138">
        <v>37</v>
      </c>
      <c r="Q93" s="141">
        <v>77</v>
      </c>
      <c r="R93" s="140">
        <v>321</v>
      </c>
      <c r="S93" s="143">
        <v>441</v>
      </c>
      <c r="T93" s="147">
        <v>81</v>
      </c>
      <c r="U93" s="151">
        <v>36</v>
      </c>
      <c r="V93" s="148">
        <f t="shared" si="10"/>
        <v>288</v>
      </c>
      <c r="W93" s="152">
        <f t="shared" si="11"/>
        <v>417</v>
      </c>
      <c r="X93" s="140">
        <v>1</v>
      </c>
      <c r="Y93" s="138">
        <v>1</v>
      </c>
      <c r="Z93" s="138">
        <v>8</v>
      </c>
      <c r="AA93" s="143">
        <v>8</v>
      </c>
    </row>
    <row r="94" spans="2:27" ht="15" customHeight="1">
      <c r="B94" s="97" t="s">
        <v>133</v>
      </c>
      <c r="C94" s="20">
        <v>1</v>
      </c>
      <c r="D94" s="20" t="s">
        <v>75</v>
      </c>
      <c r="E94" s="33">
        <v>75</v>
      </c>
      <c r="F94" s="140">
        <v>5</v>
      </c>
      <c r="G94" s="141">
        <v>6</v>
      </c>
      <c r="H94" s="140"/>
      <c r="I94" s="138"/>
      <c r="J94" s="138"/>
      <c r="K94" s="138"/>
      <c r="L94" s="71">
        <f t="shared" si="8"/>
        <v>0</v>
      </c>
      <c r="M94" s="88">
        <f t="shared" si="9"/>
        <v>0</v>
      </c>
      <c r="N94" s="142"/>
      <c r="O94" s="138"/>
      <c r="P94" s="138">
        <v>6</v>
      </c>
      <c r="Q94" s="141">
        <v>6</v>
      </c>
      <c r="R94" s="140">
        <v>33</v>
      </c>
      <c r="S94" s="143">
        <v>59</v>
      </c>
      <c r="T94" s="147">
        <v>6</v>
      </c>
      <c r="U94" s="151">
        <v>5</v>
      </c>
      <c r="V94" s="148">
        <f t="shared" si="10"/>
        <v>28</v>
      </c>
      <c r="W94" s="152">
        <f t="shared" si="11"/>
        <v>54</v>
      </c>
      <c r="X94" s="140">
        <v>1</v>
      </c>
      <c r="Y94" s="138">
        <v>1</v>
      </c>
      <c r="Z94" s="138">
        <v>4</v>
      </c>
      <c r="AA94" s="143">
        <v>4</v>
      </c>
    </row>
    <row r="95" spans="2:27" ht="15" customHeight="1">
      <c r="B95" s="97" t="s">
        <v>134</v>
      </c>
      <c r="C95" s="20"/>
      <c r="D95" s="20"/>
      <c r="E95" s="107">
        <v>76</v>
      </c>
      <c r="F95" s="140">
        <v>48</v>
      </c>
      <c r="G95" s="141">
        <v>65</v>
      </c>
      <c r="H95" s="140">
        <v>8</v>
      </c>
      <c r="I95" s="138">
        <v>13</v>
      </c>
      <c r="J95" s="138"/>
      <c r="K95" s="138">
        <v>1</v>
      </c>
      <c r="L95" s="71">
        <f t="shared" si="8"/>
        <v>8</v>
      </c>
      <c r="M95" s="88">
        <f t="shared" si="9"/>
        <v>14</v>
      </c>
      <c r="N95" s="142"/>
      <c r="O95" s="138"/>
      <c r="P95" s="138">
        <v>24</v>
      </c>
      <c r="Q95" s="141">
        <v>25</v>
      </c>
      <c r="R95" s="140">
        <v>323</v>
      </c>
      <c r="S95" s="143">
        <v>434</v>
      </c>
      <c r="T95" s="147">
        <v>74</v>
      </c>
      <c r="U95" s="151">
        <v>40</v>
      </c>
      <c r="V95" s="148">
        <f t="shared" si="10"/>
        <v>242</v>
      </c>
      <c r="W95" s="152">
        <f t="shared" si="11"/>
        <v>359</v>
      </c>
      <c r="X95" s="140">
        <v>2</v>
      </c>
      <c r="Y95" s="138">
        <v>2</v>
      </c>
      <c r="Z95" s="138">
        <v>20</v>
      </c>
      <c r="AA95" s="143">
        <v>20</v>
      </c>
    </row>
    <row r="96" spans="2:27" ht="15" customHeight="1">
      <c r="B96" s="97" t="s">
        <v>135</v>
      </c>
      <c r="C96" s="20" t="s">
        <v>63</v>
      </c>
      <c r="D96" s="20"/>
      <c r="E96" s="33">
        <v>77</v>
      </c>
      <c r="F96" s="140">
        <v>1051</v>
      </c>
      <c r="G96" s="141">
        <v>2029</v>
      </c>
      <c r="H96" s="140">
        <v>335</v>
      </c>
      <c r="I96" s="138">
        <v>739</v>
      </c>
      <c r="J96" s="138">
        <v>14</v>
      </c>
      <c r="K96" s="138">
        <v>53</v>
      </c>
      <c r="L96" s="71">
        <f t="shared" si="8"/>
        <v>349</v>
      </c>
      <c r="M96" s="88">
        <f t="shared" si="9"/>
        <v>792</v>
      </c>
      <c r="N96" s="142">
        <v>97</v>
      </c>
      <c r="O96" s="138">
        <v>2</v>
      </c>
      <c r="P96" s="138">
        <v>311</v>
      </c>
      <c r="Q96" s="141">
        <v>411</v>
      </c>
      <c r="R96" s="140">
        <v>3840</v>
      </c>
      <c r="S96" s="143">
        <v>5782</v>
      </c>
      <c r="T96" s="147">
        <v>841</v>
      </c>
      <c r="U96" s="151">
        <v>230</v>
      </c>
      <c r="V96" s="148">
        <f t="shared" si="10"/>
        <v>3529</v>
      </c>
      <c r="W96" s="152">
        <f t="shared" si="11"/>
        <v>5914</v>
      </c>
      <c r="X96" s="140">
        <v>55</v>
      </c>
      <c r="Y96" s="138">
        <v>55</v>
      </c>
      <c r="Z96" s="138">
        <v>310</v>
      </c>
      <c r="AA96" s="143">
        <v>310</v>
      </c>
    </row>
    <row r="97" spans="2:27" ht="15" customHeight="1">
      <c r="B97" s="97" t="s">
        <v>136</v>
      </c>
      <c r="C97" s="20"/>
      <c r="D97" s="20"/>
      <c r="E97" s="33">
        <v>78</v>
      </c>
      <c r="F97" s="140">
        <v>120</v>
      </c>
      <c r="G97" s="141">
        <v>207</v>
      </c>
      <c r="H97" s="140">
        <v>24</v>
      </c>
      <c r="I97" s="138">
        <v>48</v>
      </c>
      <c r="J97" s="138"/>
      <c r="K97" s="138"/>
      <c r="L97" s="71">
        <f t="shared" si="8"/>
        <v>24</v>
      </c>
      <c r="M97" s="88">
        <f t="shared" si="9"/>
        <v>48</v>
      </c>
      <c r="N97" s="142">
        <v>3</v>
      </c>
      <c r="O97" s="138"/>
      <c r="P97" s="138">
        <v>24</v>
      </c>
      <c r="Q97" s="141">
        <v>28</v>
      </c>
      <c r="R97" s="140">
        <v>536</v>
      </c>
      <c r="S97" s="143">
        <v>838</v>
      </c>
      <c r="T97" s="147">
        <v>100</v>
      </c>
      <c r="U97" s="151">
        <v>45</v>
      </c>
      <c r="V97" s="148">
        <f t="shared" si="10"/>
        <v>443</v>
      </c>
      <c r="W97" s="152">
        <f t="shared" si="11"/>
        <v>769</v>
      </c>
      <c r="X97" s="140">
        <v>6</v>
      </c>
      <c r="Y97" s="138">
        <v>6</v>
      </c>
      <c r="Z97" s="138">
        <v>42</v>
      </c>
      <c r="AA97" s="143">
        <v>42</v>
      </c>
    </row>
    <row r="98" spans="2:27" ht="15" customHeight="1">
      <c r="B98" s="97" t="s">
        <v>137</v>
      </c>
      <c r="C98" s="20">
        <v>1</v>
      </c>
      <c r="D98" s="20" t="s">
        <v>47</v>
      </c>
      <c r="E98" s="107">
        <v>79</v>
      </c>
      <c r="F98" s="140">
        <v>16</v>
      </c>
      <c r="G98" s="141">
        <v>18</v>
      </c>
      <c r="H98" s="140">
        <v>4</v>
      </c>
      <c r="I98" s="138">
        <v>6</v>
      </c>
      <c r="J98" s="138"/>
      <c r="K98" s="138"/>
      <c r="L98" s="71">
        <f t="shared" si="8"/>
        <v>4</v>
      </c>
      <c r="M98" s="88">
        <f t="shared" si="9"/>
        <v>6</v>
      </c>
      <c r="N98" s="142">
        <v>2</v>
      </c>
      <c r="O98" s="138"/>
      <c r="P98" s="138">
        <v>8</v>
      </c>
      <c r="Q98" s="141">
        <v>10</v>
      </c>
      <c r="R98" s="140">
        <v>222</v>
      </c>
      <c r="S98" s="143">
        <v>281</v>
      </c>
      <c r="T98" s="147">
        <v>58</v>
      </c>
      <c r="U98" s="151">
        <v>16</v>
      </c>
      <c r="V98" s="148">
        <f t="shared" si="10"/>
        <v>162</v>
      </c>
      <c r="W98" s="152">
        <f t="shared" si="11"/>
        <v>223</v>
      </c>
      <c r="X98" s="140">
        <v>1</v>
      </c>
      <c r="Y98" s="138">
        <v>1</v>
      </c>
      <c r="Z98" s="138">
        <v>4</v>
      </c>
      <c r="AA98" s="143">
        <v>4</v>
      </c>
    </row>
    <row r="99" spans="2:27" ht="15" customHeight="1">
      <c r="B99" s="97" t="s">
        <v>138</v>
      </c>
      <c r="C99" s="20" t="s">
        <v>63</v>
      </c>
      <c r="D99" s="20"/>
      <c r="E99" s="33">
        <v>80</v>
      </c>
      <c r="F99" s="140">
        <v>2307</v>
      </c>
      <c r="G99" s="141">
        <v>5079</v>
      </c>
      <c r="H99" s="140">
        <v>758</v>
      </c>
      <c r="I99" s="138">
        <v>1775</v>
      </c>
      <c r="J99" s="138">
        <v>66</v>
      </c>
      <c r="K99" s="138">
        <v>261</v>
      </c>
      <c r="L99" s="71">
        <f t="shared" si="8"/>
        <v>824</v>
      </c>
      <c r="M99" s="88">
        <f t="shared" si="9"/>
        <v>2036</v>
      </c>
      <c r="N99" s="142">
        <v>146</v>
      </c>
      <c r="O99" s="138">
        <v>4</v>
      </c>
      <c r="P99" s="138">
        <v>492</v>
      </c>
      <c r="Q99" s="141">
        <v>642</v>
      </c>
      <c r="R99" s="140">
        <v>5995</v>
      </c>
      <c r="S99" s="143">
        <v>9694</v>
      </c>
      <c r="T99" s="147">
        <v>1218</v>
      </c>
      <c r="U99" s="151">
        <v>367</v>
      </c>
      <c r="V99" s="148">
        <f t="shared" si="10"/>
        <v>5876</v>
      </c>
      <c r="W99" s="152">
        <f t="shared" si="11"/>
        <v>10787</v>
      </c>
      <c r="X99" s="140">
        <v>123</v>
      </c>
      <c r="Y99" s="138">
        <v>124</v>
      </c>
      <c r="Z99" s="138">
        <v>574</v>
      </c>
      <c r="AA99" s="143">
        <v>574</v>
      </c>
    </row>
    <row r="100" spans="2:27" ht="15" customHeight="1">
      <c r="B100" s="97" t="s">
        <v>139</v>
      </c>
      <c r="C100" s="20">
        <v>1</v>
      </c>
      <c r="D100" s="20" t="s">
        <v>52</v>
      </c>
      <c r="E100" s="33">
        <v>81</v>
      </c>
      <c r="F100" s="140">
        <v>25</v>
      </c>
      <c r="G100" s="141">
        <v>40</v>
      </c>
      <c r="H100" s="140">
        <v>6</v>
      </c>
      <c r="I100" s="138">
        <v>10</v>
      </c>
      <c r="J100" s="138">
        <v>1</v>
      </c>
      <c r="K100" s="138">
        <v>3</v>
      </c>
      <c r="L100" s="71">
        <f t="shared" si="8"/>
        <v>7</v>
      </c>
      <c r="M100" s="88">
        <f t="shared" si="9"/>
        <v>13</v>
      </c>
      <c r="N100" s="142">
        <v>1</v>
      </c>
      <c r="O100" s="138"/>
      <c r="P100" s="138">
        <v>6</v>
      </c>
      <c r="Q100" s="141">
        <v>7</v>
      </c>
      <c r="R100" s="140">
        <v>162</v>
      </c>
      <c r="S100" s="143">
        <v>212</v>
      </c>
      <c r="T100" s="147">
        <v>40</v>
      </c>
      <c r="U100" s="151">
        <v>13</v>
      </c>
      <c r="V100" s="148">
        <f t="shared" si="10"/>
        <v>123</v>
      </c>
      <c r="W100" s="152">
        <f t="shared" si="11"/>
        <v>179</v>
      </c>
      <c r="X100" s="140"/>
      <c r="Y100" s="138"/>
      <c r="Z100" s="138">
        <v>6</v>
      </c>
      <c r="AA100" s="143">
        <v>6</v>
      </c>
    </row>
    <row r="101" spans="2:27" ht="15" customHeight="1">
      <c r="B101" s="97" t="s">
        <v>140</v>
      </c>
      <c r="C101" s="20">
        <v>1</v>
      </c>
      <c r="D101" s="20" t="s">
        <v>75</v>
      </c>
      <c r="E101" s="107">
        <v>82</v>
      </c>
      <c r="F101" s="140">
        <v>18</v>
      </c>
      <c r="G101" s="141">
        <v>33</v>
      </c>
      <c r="H101" s="140">
        <v>3</v>
      </c>
      <c r="I101" s="138">
        <v>5</v>
      </c>
      <c r="J101" s="138"/>
      <c r="K101" s="138"/>
      <c r="L101" s="71">
        <f t="shared" si="8"/>
        <v>3</v>
      </c>
      <c r="M101" s="88">
        <f t="shared" si="9"/>
        <v>5</v>
      </c>
      <c r="N101" s="142"/>
      <c r="O101" s="138"/>
      <c r="P101" s="138">
        <v>5</v>
      </c>
      <c r="Q101" s="141">
        <v>5</v>
      </c>
      <c r="R101" s="140">
        <v>89</v>
      </c>
      <c r="S101" s="143">
        <v>123</v>
      </c>
      <c r="T101" s="147">
        <v>17</v>
      </c>
      <c r="U101" s="151">
        <v>16</v>
      </c>
      <c r="V101" s="148">
        <f t="shared" si="10"/>
        <v>64</v>
      </c>
      <c r="W101" s="152">
        <f t="shared" si="11"/>
        <v>100</v>
      </c>
      <c r="X101" s="140">
        <v>1</v>
      </c>
      <c r="Y101" s="138">
        <v>1</v>
      </c>
      <c r="Z101" s="138">
        <v>5</v>
      </c>
      <c r="AA101" s="143">
        <v>5</v>
      </c>
    </row>
    <row r="102" spans="2:27" ht="15" customHeight="1">
      <c r="B102" s="97" t="s">
        <v>141</v>
      </c>
      <c r="C102" s="20"/>
      <c r="D102" s="20"/>
      <c r="E102" s="33">
        <v>83</v>
      </c>
      <c r="F102" s="140">
        <v>1081</v>
      </c>
      <c r="G102" s="141">
        <v>1881</v>
      </c>
      <c r="H102" s="140">
        <v>275</v>
      </c>
      <c r="I102" s="138">
        <v>579</v>
      </c>
      <c r="J102" s="138">
        <v>15</v>
      </c>
      <c r="K102" s="138">
        <v>47</v>
      </c>
      <c r="L102" s="71">
        <f t="shared" si="8"/>
        <v>290</v>
      </c>
      <c r="M102" s="88">
        <f t="shared" si="9"/>
        <v>626</v>
      </c>
      <c r="N102" s="142">
        <v>49</v>
      </c>
      <c r="O102" s="138">
        <v>1</v>
      </c>
      <c r="P102" s="138">
        <v>239</v>
      </c>
      <c r="Q102" s="141">
        <v>290</v>
      </c>
      <c r="R102" s="140">
        <v>3441</v>
      </c>
      <c r="S102" s="143">
        <v>5010</v>
      </c>
      <c r="T102" s="147">
        <v>774</v>
      </c>
      <c r="U102" s="151">
        <v>241</v>
      </c>
      <c r="V102" s="148">
        <f t="shared" si="10"/>
        <v>3006</v>
      </c>
      <c r="W102" s="152">
        <f t="shared" si="11"/>
        <v>4911</v>
      </c>
      <c r="X102" s="140">
        <v>81</v>
      </c>
      <c r="Y102" s="138">
        <v>83</v>
      </c>
      <c r="Z102" s="138">
        <v>341</v>
      </c>
      <c r="AA102" s="143">
        <v>341</v>
      </c>
    </row>
    <row r="103" spans="2:27" ht="15" customHeight="1">
      <c r="B103" s="97" t="s">
        <v>142</v>
      </c>
      <c r="C103" s="20" t="s">
        <v>63</v>
      </c>
      <c r="D103" s="20"/>
      <c r="E103" s="33">
        <v>84</v>
      </c>
      <c r="F103" s="140">
        <v>516</v>
      </c>
      <c r="G103" s="141">
        <v>876</v>
      </c>
      <c r="H103" s="140">
        <v>117</v>
      </c>
      <c r="I103" s="138">
        <v>256</v>
      </c>
      <c r="J103" s="138">
        <v>9</v>
      </c>
      <c r="K103" s="138">
        <v>34</v>
      </c>
      <c r="L103" s="71">
        <f t="shared" si="8"/>
        <v>126</v>
      </c>
      <c r="M103" s="88">
        <f t="shared" si="9"/>
        <v>290</v>
      </c>
      <c r="N103" s="142">
        <v>34</v>
      </c>
      <c r="O103" s="138">
        <v>1</v>
      </c>
      <c r="P103" s="138">
        <v>94</v>
      </c>
      <c r="Q103" s="141">
        <v>129</v>
      </c>
      <c r="R103" s="140">
        <v>2093</v>
      </c>
      <c r="S103" s="143">
        <v>2959</v>
      </c>
      <c r="T103" s="147">
        <v>460</v>
      </c>
      <c r="U103" s="151">
        <v>150</v>
      </c>
      <c r="V103" s="148">
        <f t="shared" si="10"/>
        <v>1738</v>
      </c>
      <c r="W103" s="152">
        <f t="shared" si="11"/>
        <v>2768</v>
      </c>
      <c r="X103" s="140">
        <v>24</v>
      </c>
      <c r="Y103" s="138">
        <v>24</v>
      </c>
      <c r="Z103" s="138">
        <v>145</v>
      </c>
      <c r="AA103" s="143">
        <v>145</v>
      </c>
    </row>
    <row r="104" spans="2:27" ht="15" customHeight="1">
      <c r="B104" s="97" t="s">
        <v>143</v>
      </c>
      <c r="C104" s="20"/>
      <c r="D104" s="20"/>
      <c r="E104" s="107">
        <v>85</v>
      </c>
      <c r="F104" s="140">
        <v>39</v>
      </c>
      <c r="G104" s="141">
        <v>65</v>
      </c>
      <c r="H104" s="140">
        <v>10</v>
      </c>
      <c r="I104" s="138">
        <v>16</v>
      </c>
      <c r="J104" s="138"/>
      <c r="K104" s="138">
        <v>2</v>
      </c>
      <c r="L104" s="71">
        <f t="shared" si="8"/>
        <v>10</v>
      </c>
      <c r="M104" s="88">
        <f t="shared" si="9"/>
        <v>18</v>
      </c>
      <c r="N104" s="142">
        <v>6</v>
      </c>
      <c r="O104" s="138">
        <v>1</v>
      </c>
      <c r="P104" s="138">
        <v>32</v>
      </c>
      <c r="Q104" s="141">
        <v>39</v>
      </c>
      <c r="R104" s="140">
        <v>281</v>
      </c>
      <c r="S104" s="143">
        <v>436</v>
      </c>
      <c r="T104" s="147">
        <v>54</v>
      </c>
      <c r="U104" s="151">
        <v>29</v>
      </c>
      <c r="V104" s="148">
        <f t="shared" si="10"/>
        <v>247</v>
      </c>
      <c r="W104" s="152">
        <f t="shared" si="11"/>
        <v>410</v>
      </c>
      <c r="X104" s="140">
        <v>2</v>
      </c>
      <c r="Y104" s="138">
        <v>2</v>
      </c>
      <c r="Z104" s="138">
        <v>14</v>
      </c>
      <c r="AA104" s="143">
        <v>14</v>
      </c>
    </row>
    <row r="105" spans="2:27" ht="15" customHeight="1">
      <c r="B105" s="97" t="s">
        <v>144</v>
      </c>
      <c r="C105" s="20"/>
      <c r="D105" s="20"/>
      <c r="E105" s="33">
        <v>86</v>
      </c>
      <c r="F105" s="140">
        <v>149</v>
      </c>
      <c r="G105" s="141">
        <v>268</v>
      </c>
      <c r="H105" s="140">
        <v>49</v>
      </c>
      <c r="I105" s="138">
        <v>87</v>
      </c>
      <c r="J105" s="138">
        <v>2</v>
      </c>
      <c r="K105" s="138">
        <v>7</v>
      </c>
      <c r="L105" s="71">
        <f t="shared" si="8"/>
        <v>51</v>
      </c>
      <c r="M105" s="88">
        <f t="shared" si="9"/>
        <v>94</v>
      </c>
      <c r="N105" s="142">
        <v>13</v>
      </c>
      <c r="O105" s="138">
        <v>1</v>
      </c>
      <c r="P105" s="138">
        <v>92</v>
      </c>
      <c r="Q105" s="141">
        <v>106</v>
      </c>
      <c r="R105" s="140">
        <v>883</v>
      </c>
      <c r="S105" s="143">
        <v>1353</v>
      </c>
      <c r="T105" s="147">
        <v>175</v>
      </c>
      <c r="U105" s="151">
        <v>57</v>
      </c>
      <c r="V105" s="148">
        <f t="shared" si="10"/>
        <v>808</v>
      </c>
      <c r="W105" s="152">
        <f t="shared" si="11"/>
        <v>1321</v>
      </c>
      <c r="X105" s="140">
        <v>8</v>
      </c>
      <c r="Y105" s="138">
        <v>8</v>
      </c>
      <c r="Z105" s="138">
        <v>37</v>
      </c>
      <c r="AA105" s="143">
        <v>37</v>
      </c>
    </row>
    <row r="106" spans="2:27" ht="15" customHeight="1">
      <c r="B106" s="97" t="s">
        <v>145</v>
      </c>
      <c r="C106" s="20">
        <v>1</v>
      </c>
      <c r="D106" s="20" t="s">
        <v>52</v>
      </c>
      <c r="E106" s="33">
        <v>87</v>
      </c>
      <c r="F106" s="140">
        <v>8</v>
      </c>
      <c r="G106" s="141">
        <v>15</v>
      </c>
      <c r="H106" s="140">
        <v>3</v>
      </c>
      <c r="I106" s="138">
        <v>6</v>
      </c>
      <c r="J106" s="138"/>
      <c r="K106" s="138">
        <v>2</v>
      </c>
      <c r="L106" s="71">
        <f t="shared" si="8"/>
        <v>3</v>
      </c>
      <c r="M106" s="88">
        <f t="shared" si="9"/>
        <v>8</v>
      </c>
      <c r="N106" s="142"/>
      <c r="O106" s="138"/>
      <c r="P106" s="138">
        <v>2</v>
      </c>
      <c r="Q106" s="141">
        <v>2</v>
      </c>
      <c r="R106" s="140">
        <v>70</v>
      </c>
      <c r="S106" s="143">
        <v>116</v>
      </c>
      <c r="T106" s="147">
        <v>9</v>
      </c>
      <c r="U106" s="151">
        <v>6</v>
      </c>
      <c r="V106" s="148">
        <f t="shared" si="10"/>
        <v>60</v>
      </c>
      <c r="W106" s="152">
        <f t="shared" si="11"/>
        <v>111</v>
      </c>
      <c r="X106" s="140">
        <v>1</v>
      </c>
      <c r="Y106" s="138">
        <v>1</v>
      </c>
      <c r="Z106" s="138">
        <v>2</v>
      </c>
      <c r="AA106" s="143">
        <v>2</v>
      </c>
    </row>
    <row r="107" spans="2:27" ht="15" customHeight="1">
      <c r="B107" s="97" t="s">
        <v>146</v>
      </c>
      <c r="C107" s="20"/>
      <c r="D107" s="20"/>
      <c r="E107" s="107">
        <v>88</v>
      </c>
      <c r="F107" s="140">
        <v>473</v>
      </c>
      <c r="G107" s="141">
        <v>1001</v>
      </c>
      <c r="H107" s="140">
        <v>135</v>
      </c>
      <c r="I107" s="138">
        <v>313</v>
      </c>
      <c r="J107" s="138">
        <v>10</v>
      </c>
      <c r="K107" s="138">
        <v>40</v>
      </c>
      <c r="L107" s="71">
        <f t="shared" si="8"/>
        <v>145</v>
      </c>
      <c r="M107" s="88">
        <f t="shared" si="9"/>
        <v>353</v>
      </c>
      <c r="N107" s="142">
        <v>24</v>
      </c>
      <c r="O107" s="138"/>
      <c r="P107" s="138">
        <v>87</v>
      </c>
      <c r="Q107" s="141">
        <v>112</v>
      </c>
      <c r="R107" s="140">
        <v>1836</v>
      </c>
      <c r="S107" s="143">
        <v>2952</v>
      </c>
      <c r="T107" s="147">
        <v>368</v>
      </c>
      <c r="U107" s="151">
        <v>112</v>
      </c>
      <c r="V107" s="148">
        <f t="shared" si="10"/>
        <v>1613</v>
      </c>
      <c r="W107" s="152">
        <f t="shared" si="11"/>
        <v>2937</v>
      </c>
      <c r="X107" s="140">
        <v>26</v>
      </c>
      <c r="Y107" s="138">
        <v>26</v>
      </c>
      <c r="Z107" s="138">
        <v>106</v>
      </c>
      <c r="AA107" s="143">
        <v>106</v>
      </c>
    </row>
    <row r="108" spans="2:27" ht="15" customHeight="1">
      <c r="B108" s="97" t="s">
        <v>147</v>
      </c>
      <c r="C108" s="20" t="s">
        <v>63</v>
      </c>
      <c r="D108" s="20"/>
      <c r="E108" s="33">
        <v>89</v>
      </c>
      <c r="F108" s="140">
        <v>4103</v>
      </c>
      <c r="G108" s="141">
        <v>8587</v>
      </c>
      <c r="H108" s="140">
        <v>1311</v>
      </c>
      <c r="I108" s="138">
        <v>3090</v>
      </c>
      <c r="J108" s="138">
        <v>93</v>
      </c>
      <c r="K108" s="138">
        <v>356</v>
      </c>
      <c r="L108" s="71">
        <f t="shared" si="8"/>
        <v>1404</v>
      </c>
      <c r="M108" s="88">
        <f t="shared" si="9"/>
        <v>3446</v>
      </c>
      <c r="N108" s="142">
        <v>272</v>
      </c>
      <c r="O108" s="138">
        <v>4</v>
      </c>
      <c r="P108" s="138">
        <v>666</v>
      </c>
      <c r="Q108" s="141">
        <v>942</v>
      </c>
      <c r="R108" s="140">
        <v>8305</v>
      </c>
      <c r="S108" s="143">
        <v>13583</v>
      </c>
      <c r="T108" s="147">
        <v>1554</v>
      </c>
      <c r="U108" s="151">
        <v>271</v>
      </c>
      <c r="V108" s="148">
        <f t="shared" si="10"/>
        <v>8826</v>
      </c>
      <c r="W108" s="152">
        <f t="shared" si="11"/>
        <v>16146</v>
      </c>
      <c r="X108" s="140">
        <v>240</v>
      </c>
      <c r="Y108" s="138">
        <v>241</v>
      </c>
      <c r="Z108" s="138">
        <v>1056</v>
      </c>
      <c r="AA108" s="143">
        <v>1056</v>
      </c>
    </row>
    <row r="109" spans="2:27" ht="15" customHeight="1">
      <c r="B109" s="97" t="s">
        <v>148</v>
      </c>
      <c r="C109" s="20"/>
      <c r="D109" s="20"/>
      <c r="E109" s="33">
        <v>90</v>
      </c>
      <c r="F109" s="140">
        <v>26</v>
      </c>
      <c r="G109" s="141">
        <v>44</v>
      </c>
      <c r="H109" s="140">
        <v>6</v>
      </c>
      <c r="I109" s="138">
        <v>12</v>
      </c>
      <c r="J109" s="138"/>
      <c r="K109" s="138"/>
      <c r="L109" s="71">
        <f t="shared" si="8"/>
        <v>6</v>
      </c>
      <c r="M109" s="88">
        <f t="shared" si="9"/>
        <v>12</v>
      </c>
      <c r="N109" s="142">
        <v>4</v>
      </c>
      <c r="O109" s="138"/>
      <c r="P109" s="138">
        <v>13</v>
      </c>
      <c r="Q109" s="141">
        <v>17</v>
      </c>
      <c r="R109" s="140">
        <v>199</v>
      </c>
      <c r="S109" s="143">
        <v>243</v>
      </c>
      <c r="T109" s="147">
        <v>50</v>
      </c>
      <c r="U109" s="151">
        <v>19</v>
      </c>
      <c r="V109" s="148">
        <f t="shared" si="10"/>
        <v>153</v>
      </c>
      <c r="W109" s="152">
        <f t="shared" si="11"/>
        <v>203</v>
      </c>
      <c r="X109" s="140"/>
      <c r="Y109" s="138"/>
      <c r="Z109" s="138">
        <v>11</v>
      </c>
      <c r="AA109" s="143">
        <v>11</v>
      </c>
    </row>
    <row r="110" spans="2:27" ht="15" customHeight="1">
      <c r="B110" s="97" t="s">
        <v>149</v>
      </c>
      <c r="C110" s="20"/>
      <c r="D110" s="20"/>
      <c r="E110" s="107">
        <v>91</v>
      </c>
      <c r="F110" s="140">
        <v>35</v>
      </c>
      <c r="G110" s="141">
        <v>56</v>
      </c>
      <c r="H110" s="140">
        <v>14</v>
      </c>
      <c r="I110" s="138">
        <v>23</v>
      </c>
      <c r="J110" s="138"/>
      <c r="K110" s="138">
        <v>1</v>
      </c>
      <c r="L110" s="71">
        <f t="shared" si="8"/>
        <v>14</v>
      </c>
      <c r="M110" s="88">
        <f t="shared" si="9"/>
        <v>24</v>
      </c>
      <c r="N110" s="142">
        <v>2</v>
      </c>
      <c r="O110" s="138"/>
      <c r="P110" s="138">
        <v>9</v>
      </c>
      <c r="Q110" s="141">
        <v>12</v>
      </c>
      <c r="R110" s="140">
        <v>278</v>
      </c>
      <c r="S110" s="143">
        <v>449</v>
      </c>
      <c r="T110" s="147">
        <v>50</v>
      </c>
      <c r="U110" s="151">
        <v>12</v>
      </c>
      <c r="V110" s="148">
        <f t="shared" si="10"/>
        <v>242</v>
      </c>
      <c r="W110" s="152">
        <f t="shared" si="11"/>
        <v>423</v>
      </c>
      <c r="X110" s="140">
        <v>1</v>
      </c>
      <c r="Y110" s="138">
        <v>1</v>
      </c>
      <c r="Z110" s="138">
        <v>13</v>
      </c>
      <c r="AA110" s="143">
        <v>13</v>
      </c>
    </row>
    <row r="111" spans="2:27" ht="15" customHeight="1">
      <c r="B111" s="97" t="s">
        <v>150</v>
      </c>
      <c r="C111" s="20">
        <v>1</v>
      </c>
      <c r="D111" s="20" t="s">
        <v>52</v>
      </c>
      <c r="E111" s="33">
        <v>92</v>
      </c>
      <c r="F111" s="140">
        <v>15</v>
      </c>
      <c r="G111" s="141">
        <v>30</v>
      </c>
      <c r="H111" s="140">
        <v>5</v>
      </c>
      <c r="I111" s="138">
        <v>11</v>
      </c>
      <c r="J111" s="138"/>
      <c r="K111" s="138">
        <v>1</v>
      </c>
      <c r="L111" s="71">
        <f t="shared" si="8"/>
        <v>5</v>
      </c>
      <c r="M111" s="88">
        <f t="shared" si="9"/>
        <v>12</v>
      </c>
      <c r="N111" s="142"/>
      <c r="O111" s="138">
        <v>1</v>
      </c>
      <c r="P111" s="138">
        <v>11</v>
      </c>
      <c r="Q111" s="141">
        <v>12</v>
      </c>
      <c r="R111" s="140">
        <v>114</v>
      </c>
      <c r="S111" s="143">
        <v>178</v>
      </c>
      <c r="T111" s="147">
        <v>20</v>
      </c>
      <c r="U111" s="151">
        <v>9</v>
      </c>
      <c r="V111" s="148">
        <f t="shared" si="10"/>
        <v>102</v>
      </c>
      <c r="W111" s="152">
        <f t="shared" si="11"/>
        <v>173</v>
      </c>
      <c r="X111" s="140">
        <v>1</v>
      </c>
      <c r="Y111" s="138">
        <v>1</v>
      </c>
      <c r="Z111" s="138">
        <v>11</v>
      </c>
      <c r="AA111" s="143">
        <v>11</v>
      </c>
    </row>
    <row r="112" spans="2:27" ht="15" customHeight="1">
      <c r="B112" s="97" t="s">
        <v>151</v>
      </c>
      <c r="C112" s="20" t="s">
        <v>63</v>
      </c>
      <c r="D112" s="20"/>
      <c r="E112" s="33">
        <v>93</v>
      </c>
      <c r="F112" s="140">
        <v>11020</v>
      </c>
      <c r="G112" s="141">
        <v>22093</v>
      </c>
      <c r="H112" s="140">
        <v>3525</v>
      </c>
      <c r="I112" s="138">
        <v>8484</v>
      </c>
      <c r="J112" s="138">
        <v>116</v>
      </c>
      <c r="K112" s="138">
        <v>459</v>
      </c>
      <c r="L112" s="71">
        <f t="shared" si="8"/>
        <v>3641</v>
      </c>
      <c r="M112" s="88">
        <f t="shared" si="9"/>
        <v>8943</v>
      </c>
      <c r="N112" s="142">
        <v>494</v>
      </c>
      <c r="O112" s="138">
        <v>5</v>
      </c>
      <c r="P112" s="138">
        <v>1176</v>
      </c>
      <c r="Q112" s="141">
        <v>1676</v>
      </c>
      <c r="R112" s="140">
        <v>17206</v>
      </c>
      <c r="S112" s="143">
        <v>26598</v>
      </c>
      <c r="T112" s="147">
        <v>3016</v>
      </c>
      <c r="U112" s="151">
        <v>574</v>
      </c>
      <c r="V112" s="148">
        <f t="shared" si="10"/>
        <v>18933</v>
      </c>
      <c r="W112" s="152">
        <f t="shared" si="11"/>
        <v>33627</v>
      </c>
      <c r="X112" s="140">
        <v>501</v>
      </c>
      <c r="Y112" s="138">
        <v>511</v>
      </c>
      <c r="Z112" s="138">
        <v>3246</v>
      </c>
      <c r="AA112" s="143">
        <v>3246</v>
      </c>
    </row>
    <row r="113" spans="2:27" ht="15" customHeight="1">
      <c r="B113" s="97" t="s">
        <v>152</v>
      </c>
      <c r="C113" s="20"/>
      <c r="D113" s="20"/>
      <c r="E113" s="33">
        <v>95</v>
      </c>
      <c r="F113" s="140">
        <v>1400</v>
      </c>
      <c r="G113" s="141">
        <v>2840</v>
      </c>
      <c r="H113" s="140">
        <v>397</v>
      </c>
      <c r="I113" s="138">
        <v>955</v>
      </c>
      <c r="J113" s="138">
        <v>30</v>
      </c>
      <c r="K113" s="138">
        <v>116</v>
      </c>
      <c r="L113" s="71">
        <f t="shared" si="8"/>
        <v>427</v>
      </c>
      <c r="M113" s="88">
        <f t="shared" si="9"/>
        <v>1071</v>
      </c>
      <c r="N113" s="142">
        <v>72</v>
      </c>
      <c r="O113" s="138">
        <v>1</v>
      </c>
      <c r="P113" s="138">
        <v>266</v>
      </c>
      <c r="Q113" s="141">
        <v>340</v>
      </c>
      <c r="R113" s="140">
        <v>3242</v>
      </c>
      <c r="S113" s="143">
        <v>5150</v>
      </c>
      <c r="T113" s="147">
        <v>675</v>
      </c>
      <c r="U113" s="151">
        <v>116</v>
      </c>
      <c r="V113" s="148">
        <f t="shared" si="10"/>
        <v>3218</v>
      </c>
      <c r="W113" s="152">
        <f t="shared" si="11"/>
        <v>5770</v>
      </c>
      <c r="X113" s="140">
        <v>62</v>
      </c>
      <c r="Y113" s="138">
        <v>64</v>
      </c>
      <c r="Z113" s="138">
        <v>312</v>
      </c>
      <c r="AA113" s="143">
        <v>312</v>
      </c>
    </row>
    <row r="114" spans="2:27" ht="15" customHeight="1">
      <c r="B114" s="97" t="s">
        <v>153</v>
      </c>
      <c r="C114" s="20"/>
      <c r="D114" s="20"/>
      <c r="E114" s="33">
        <v>96</v>
      </c>
      <c r="F114" s="140">
        <v>183</v>
      </c>
      <c r="G114" s="141">
        <v>287</v>
      </c>
      <c r="H114" s="140">
        <v>39</v>
      </c>
      <c r="I114" s="138">
        <v>68</v>
      </c>
      <c r="J114" s="138">
        <v>4</v>
      </c>
      <c r="K114" s="138">
        <v>19</v>
      </c>
      <c r="L114" s="71">
        <f t="shared" si="8"/>
        <v>43</v>
      </c>
      <c r="M114" s="88">
        <f t="shared" si="9"/>
        <v>87</v>
      </c>
      <c r="N114" s="142">
        <v>19</v>
      </c>
      <c r="O114" s="138"/>
      <c r="P114" s="138">
        <v>66</v>
      </c>
      <c r="Q114" s="141">
        <v>85</v>
      </c>
      <c r="R114" s="140">
        <v>1287</v>
      </c>
      <c r="S114" s="143">
        <v>1831</v>
      </c>
      <c r="T114" s="147">
        <v>275</v>
      </c>
      <c r="U114" s="151">
        <v>141</v>
      </c>
      <c r="V114" s="148">
        <f t="shared" si="10"/>
        <v>999</v>
      </c>
      <c r="W114" s="152">
        <f t="shared" si="11"/>
        <v>1587</v>
      </c>
      <c r="X114" s="140">
        <v>10</v>
      </c>
      <c r="Y114" s="138">
        <v>10</v>
      </c>
      <c r="Z114" s="138">
        <v>56</v>
      </c>
      <c r="AA114" s="143">
        <v>56</v>
      </c>
    </row>
    <row r="115" spans="2:27" ht="15" customHeight="1">
      <c r="B115" s="97" t="s">
        <v>154</v>
      </c>
      <c r="C115" s="20"/>
      <c r="D115" s="20"/>
      <c r="E115" s="107">
        <v>94</v>
      </c>
      <c r="F115" s="140">
        <v>219</v>
      </c>
      <c r="G115" s="141">
        <v>363</v>
      </c>
      <c r="H115" s="140">
        <v>44</v>
      </c>
      <c r="I115" s="138">
        <v>91</v>
      </c>
      <c r="J115" s="138">
        <v>2</v>
      </c>
      <c r="K115" s="138">
        <v>6</v>
      </c>
      <c r="L115" s="71">
        <f t="shared" si="8"/>
        <v>46</v>
      </c>
      <c r="M115" s="88">
        <f t="shared" si="9"/>
        <v>97</v>
      </c>
      <c r="N115" s="142">
        <v>34</v>
      </c>
      <c r="O115" s="138">
        <v>3</v>
      </c>
      <c r="P115" s="138">
        <v>45</v>
      </c>
      <c r="Q115" s="141">
        <v>83</v>
      </c>
      <c r="R115" s="140">
        <v>1307</v>
      </c>
      <c r="S115" s="143">
        <v>1755</v>
      </c>
      <c r="T115" s="147">
        <v>307</v>
      </c>
      <c r="U115" s="151">
        <v>97</v>
      </c>
      <c r="V115" s="148">
        <f t="shared" si="10"/>
        <v>1032</v>
      </c>
      <c r="W115" s="152">
        <f t="shared" si="11"/>
        <v>1531</v>
      </c>
      <c r="X115" s="140">
        <v>20</v>
      </c>
      <c r="Y115" s="138">
        <v>21</v>
      </c>
      <c r="Z115" s="138">
        <v>94</v>
      </c>
      <c r="AA115" s="143">
        <v>94</v>
      </c>
    </row>
    <row r="116" spans="2:27" ht="15" customHeight="1">
      <c r="B116" s="97" t="s">
        <v>155</v>
      </c>
      <c r="C116" s="20"/>
      <c r="D116" s="20"/>
      <c r="E116" s="107">
        <v>97</v>
      </c>
      <c r="F116" s="140">
        <v>96</v>
      </c>
      <c r="G116" s="141">
        <v>127</v>
      </c>
      <c r="H116" s="140">
        <v>15</v>
      </c>
      <c r="I116" s="138">
        <v>24</v>
      </c>
      <c r="J116" s="138"/>
      <c r="K116" s="138">
        <v>2</v>
      </c>
      <c r="L116" s="71">
        <f aca="true" t="shared" si="12" ref="L116:L147">SUM(H116,J116)</f>
        <v>15</v>
      </c>
      <c r="M116" s="88">
        <f aca="true" t="shared" si="13" ref="M116:M147">SUM(I116,K116)</f>
        <v>26</v>
      </c>
      <c r="N116" s="142">
        <v>6</v>
      </c>
      <c r="O116" s="138"/>
      <c r="P116" s="138">
        <v>19</v>
      </c>
      <c r="Q116" s="141">
        <v>26</v>
      </c>
      <c r="R116" s="140">
        <v>576</v>
      </c>
      <c r="S116" s="143">
        <v>811</v>
      </c>
      <c r="T116" s="147">
        <v>112</v>
      </c>
      <c r="U116" s="151">
        <v>54</v>
      </c>
      <c r="V116" s="148">
        <f aca="true" t="shared" si="14" ref="V116:V147">SUM(L116+Q116+R116-T116-U116)</f>
        <v>451</v>
      </c>
      <c r="W116" s="152">
        <f aca="true" t="shared" si="15" ref="W116:W147">SUM(M116+Q116+S116-T116-U116)</f>
        <v>697</v>
      </c>
      <c r="X116" s="140">
        <v>6</v>
      </c>
      <c r="Y116" s="138">
        <v>6</v>
      </c>
      <c r="Z116" s="138">
        <v>49</v>
      </c>
      <c r="AA116" s="143">
        <v>49</v>
      </c>
    </row>
    <row r="117" spans="2:27" ht="15" customHeight="1">
      <c r="B117" s="97" t="s">
        <v>156</v>
      </c>
      <c r="C117" s="20">
        <v>1</v>
      </c>
      <c r="D117" s="20" t="s">
        <v>52</v>
      </c>
      <c r="E117" s="33">
        <v>98</v>
      </c>
      <c r="F117" s="140">
        <v>8</v>
      </c>
      <c r="G117" s="141">
        <v>14</v>
      </c>
      <c r="H117" s="140">
        <v>3</v>
      </c>
      <c r="I117" s="138">
        <v>8</v>
      </c>
      <c r="J117" s="138"/>
      <c r="K117" s="138"/>
      <c r="L117" s="71">
        <f t="shared" si="12"/>
        <v>3</v>
      </c>
      <c r="M117" s="88">
        <f t="shared" si="13"/>
        <v>8</v>
      </c>
      <c r="N117" s="142">
        <v>2</v>
      </c>
      <c r="O117" s="138"/>
      <c r="P117" s="138">
        <v>10</v>
      </c>
      <c r="Q117" s="141">
        <v>13</v>
      </c>
      <c r="R117" s="140">
        <v>58</v>
      </c>
      <c r="S117" s="143">
        <v>100</v>
      </c>
      <c r="T117" s="147">
        <v>12</v>
      </c>
      <c r="U117" s="151">
        <v>4</v>
      </c>
      <c r="V117" s="148">
        <f t="shared" si="14"/>
        <v>58</v>
      </c>
      <c r="W117" s="152">
        <f t="shared" si="15"/>
        <v>105</v>
      </c>
      <c r="X117" s="140"/>
      <c r="Y117" s="138"/>
      <c r="Z117" s="138">
        <v>3</v>
      </c>
      <c r="AA117" s="143">
        <v>3</v>
      </c>
    </row>
    <row r="118" spans="2:27" ht="15" customHeight="1">
      <c r="B118" s="97" t="s">
        <v>157</v>
      </c>
      <c r="C118" s="20"/>
      <c r="D118" s="20"/>
      <c r="E118" s="33">
        <v>99</v>
      </c>
      <c r="F118" s="140">
        <v>71</v>
      </c>
      <c r="G118" s="141">
        <v>110</v>
      </c>
      <c r="H118" s="140">
        <v>24</v>
      </c>
      <c r="I118" s="138">
        <v>45</v>
      </c>
      <c r="J118" s="138"/>
      <c r="K118" s="138">
        <v>1</v>
      </c>
      <c r="L118" s="71">
        <f t="shared" si="12"/>
        <v>24</v>
      </c>
      <c r="M118" s="88">
        <f t="shared" si="13"/>
        <v>46</v>
      </c>
      <c r="N118" s="142">
        <v>5</v>
      </c>
      <c r="O118" s="138"/>
      <c r="P118" s="138">
        <v>17</v>
      </c>
      <c r="Q118" s="141">
        <v>22</v>
      </c>
      <c r="R118" s="140">
        <v>302</v>
      </c>
      <c r="S118" s="143">
        <v>471</v>
      </c>
      <c r="T118" s="147">
        <v>54</v>
      </c>
      <c r="U118" s="151">
        <v>21</v>
      </c>
      <c r="V118" s="148">
        <f t="shared" si="14"/>
        <v>273</v>
      </c>
      <c r="W118" s="152">
        <f t="shared" si="15"/>
        <v>464</v>
      </c>
      <c r="X118" s="140">
        <v>7</v>
      </c>
      <c r="Y118" s="138">
        <v>7</v>
      </c>
      <c r="Z118" s="138">
        <v>27</v>
      </c>
      <c r="AA118" s="143">
        <v>27</v>
      </c>
    </row>
    <row r="119" spans="2:27" ht="15" customHeight="1">
      <c r="B119" s="97" t="s">
        <v>158</v>
      </c>
      <c r="C119" s="20">
        <v>1</v>
      </c>
      <c r="D119" s="20" t="s">
        <v>52</v>
      </c>
      <c r="E119" s="107">
        <v>100</v>
      </c>
      <c r="F119" s="140">
        <v>26</v>
      </c>
      <c r="G119" s="141">
        <v>51</v>
      </c>
      <c r="H119" s="140">
        <v>9</v>
      </c>
      <c r="I119" s="138">
        <v>20</v>
      </c>
      <c r="J119" s="138"/>
      <c r="K119" s="138"/>
      <c r="L119" s="71">
        <f t="shared" si="12"/>
        <v>9</v>
      </c>
      <c r="M119" s="88">
        <f t="shared" si="13"/>
        <v>20</v>
      </c>
      <c r="N119" s="142"/>
      <c r="O119" s="138"/>
      <c r="P119" s="138">
        <v>7</v>
      </c>
      <c r="Q119" s="141">
        <v>7</v>
      </c>
      <c r="R119" s="140">
        <v>156</v>
      </c>
      <c r="S119" s="143">
        <v>275</v>
      </c>
      <c r="T119" s="147">
        <v>28</v>
      </c>
      <c r="U119" s="151">
        <v>9</v>
      </c>
      <c r="V119" s="148">
        <f t="shared" si="14"/>
        <v>135</v>
      </c>
      <c r="W119" s="152">
        <f t="shared" si="15"/>
        <v>265</v>
      </c>
      <c r="X119" s="140">
        <v>1</v>
      </c>
      <c r="Y119" s="138">
        <v>1</v>
      </c>
      <c r="Z119" s="138">
        <v>8</v>
      </c>
      <c r="AA119" s="143">
        <v>8</v>
      </c>
    </row>
    <row r="120" spans="2:27" ht="15" customHeight="1">
      <c r="B120" s="97" t="s">
        <v>159</v>
      </c>
      <c r="C120" s="20"/>
      <c r="D120" s="20"/>
      <c r="E120" s="33">
        <v>101</v>
      </c>
      <c r="F120" s="140">
        <v>133</v>
      </c>
      <c r="G120" s="141">
        <v>198</v>
      </c>
      <c r="H120" s="140">
        <v>43</v>
      </c>
      <c r="I120" s="138">
        <v>80</v>
      </c>
      <c r="J120" s="138">
        <v>1</v>
      </c>
      <c r="K120" s="138">
        <v>2</v>
      </c>
      <c r="L120" s="71">
        <f t="shared" si="12"/>
        <v>44</v>
      </c>
      <c r="M120" s="88">
        <f t="shared" si="13"/>
        <v>82</v>
      </c>
      <c r="N120" s="142">
        <v>12</v>
      </c>
      <c r="O120" s="138"/>
      <c r="P120" s="138">
        <v>51</v>
      </c>
      <c r="Q120" s="141">
        <v>64</v>
      </c>
      <c r="R120" s="140">
        <v>809</v>
      </c>
      <c r="S120" s="143">
        <v>1059</v>
      </c>
      <c r="T120" s="147">
        <v>194</v>
      </c>
      <c r="U120" s="151">
        <v>63</v>
      </c>
      <c r="V120" s="148">
        <f t="shared" si="14"/>
        <v>660</v>
      </c>
      <c r="W120" s="152">
        <f t="shared" si="15"/>
        <v>948</v>
      </c>
      <c r="X120" s="140">
        <v>8</v>
      </c>
      <c r="Y120" s="138">
        <v>8</v>
      </c>
      <c r="Z120" s="138">
        <v>43</v>
      </c>
      <c r="AA120" s="143">
        <v>43</v>
      </c>
    </row>
    <row r="121" spans="2:27" ht="15" customHeight="1">
      <c r="B121" s="97" t="s">
        <v>160</v>
      </c>
      <c r="C121" s="20">
        <v>1</v>
      </c>
      <c r="D121" s="20" t="s">
        <v>47</v>
      </c>
      <c r="E121" s="33">
        <v>102</v>
      </c>
      <c r="F121" s="140">
        <v>23</v>
      </c>
      <c r="G121" s="141">
        <v>52</v>
      </c>
      <c r="H121" s="140">
        <v>11</v>
      </c>
      <c r="I121" s="138">
        <v>27</v>
      </c>
      <c r="J121" s="138"/>
      <c r="K121" s="138">
        <v>3</v>
      </c>
      <c r="L121" s="71">
        <f t="shared" si="12"/>
        <v>11</v>
      </c>
      <c r="M121" s="88">
        <f t="shared" si="13"/>
        <v>30</v>
      </c>
      <c r="N121" s="142"/>
      <c r="O121" s="138">
        <v>1</v>
      </c>
      <c r="P121" s="138">
        <v>9</v>
      </c>
      <c r="Q121" s="141">
        <v>10</v>
      </c>
      <c r="R121" s="140">
        <v>135</v>
      </c>
      <c r="S121" s="143">
        <v>242</v>
      </c>
      <c r="T121" s="147">
        <v>14</v>
      </c>
      <c r="U121" s="151">
        <v>10</v>
      </c>
      <c r="V121" s="148">
        <f t="shared" si="14"/>
        <v>132</v>
      </c>
      <c r="W121" s="152">
        <f t="shared" si="15"/>
        <v>258</v>
      </c>
      <c r="X121" s="140">
        <v>1</v>
      </c>
      <c r="Y121" s="138">
        <v>1</v>
      </c>
      <c r="Z121" s="138">
        <v>8</v>
      </c>
      <c r="AA121" s="143">
        <v>8</v>
      </c>
    </row>
    <row r="122" spans="2:27" ht="15" customHeight="1">
      <c r="B122" s="97" t="s">
        <v>161</v>
      </c>
      <c r="C122" s="20" t="s">
        <v>63</v>
      </c>
      <c r="D122" s="20"/>
      <c r="E122" s="107">
        <v>103</v>
      </c>
      <c r="F122" s="140">
        <v>1524</v>
      </c>
      <c r="G122" s="141">
        <v>2627</v>
      </c>
      <c r="H122" s="140">
        <v>447</v>
      </c>
      <c r="I122" s="138">
        <v>938</v>
      </c>
      <c r="J122" s="138">
        <v>12</v>
      </c>
      <c r="K122" s="138">
        <v>42</v>
      </c>
      <c r="L122" s="71">
        <f t="shared" si="12"/>
        <v>459</v>
      </c>
      <c r="M122" s="88">
        <f t="shared" si="13"/>
        <v>980</v>
      </c>
      <c r="N122" s="142">
        <v>114</v>
      </c>
      <c r="O122" s="138">
        <v>3</v>
      </c>
      <c r="P122" s="138">
        <v>284</v>
      </c>
      <c r="Q122" s="141">
        <v>402</v>
      </c>
      <c r="R122" s="140">
        <v>5100</v>
      </c>
      <c r="S122" s="143">
        <v>7319</v>
      </c>
      <c r="T122" s="147">
        <v>1128</v>
      </c>
      <c r="U122" s="151">
        <v>272</v>
      </c>
      <c r="V122" s="148">
        <f t="shared" si="14"/>
        <v>4561</v>
      </c>
      <c r="W122" s="152">
        <f t="shared" si="15"/>
        <v>7301</v>
      </c>
      <c r="X122" s="140">
        <v>118</v>
      </c>
      <c r="Y122" s="138">
        <v>120</v>
      </c>
      <c r="Z122" s="138">
        <v>442</v>
      </c>
      <c r="AA122" s="143">
        <v>442</v>
      </c>
    </row>
    <row r="123" spans="2:27" ht="15" customHeight="1">
      <c r="B123" s="97" t="s">
        <v>162</v>
      </c>
      <c r="C123" s="20"/>
      <c r="D123" s="20"/>
      <c r="E123" s="33">
        <v>104</v>
      </c>
      <c r="F123" s="140">
        <v>1399</v>
      </c>
      <c r="G123" s="141">
        <v>2632</v>
      </c>
      <c r="H123" s="140">
        <v>308</v>
      </c>
      <c r="I123" s="138">
        <v>705</v>
      </c>
      <c r="J123" s="138">
        <v>29</v>
      </c>
      <c r="K123" s="138">
        <v>113</v>
      </c>
      <c r="L123" s="71">
        <f t="shared" si="12"/>
        <v>337</v>
      </c>
      <c r="M123" s="88">
        <f t="shared" si="13"/>
        <v>818</v>
      </c>
      <c r="N123" s="142">
        <v>100</v>
      </c>
      <c r="O123" s="138">
        <v>1</v>
      </c>
      <c r="P123" s="138">
        <v>349</v>
      </c>
      <c r="Q123" s="141">
        <v>451</v>
      </c>
      <c r="R123" s="140">
        <v>3870</v>
      </c>
      <c r="S123" s="143">
        <v>5926</v>
      </c>
      <c r="T123" s="147">
        <v>893</v>
      </c>
      <c r="U123" s="151">
        <v>241</v>
      </c>
      <c r="V123" s="148">
        <f t="shared" si="14"/>
        <v>3524</v>
      </c>
      <c r="W123" s="152">
        <f t="shared" si="15"/>
        <v>6061</v>
      </c>
      <c r="X123" s="140">
        <v>34</v>
      </c>
      <c r="Y123" s="138">
        <v>34</v>
      </c>
      <c r="Z123" s="138">
        <v>169</v>
      </c>
      <c r="AA123" s="143">
        <v>170</v>
      </c>
    </row>
    <row r="124" spans="2:27" ht="15" customHeight="1">
      <c r="B124" s="97" t="s">
        <v>163</v>
      </c>
      <c r="C124" s="20"/>
      <c r="D124" s="20"/>
      <c r="E124" s="33">
        <v>105</v>
      </c>
      <c r="F124" s="140">
        <v>22</v>
      </c>
      <c r="G124" s="141">
        <v>33</v>
      </c>
      <c r="H124" s="140">
        <v>5</v>
      </c>
      <c r="I124" s="138">
        <v>13</v>
      </c>
      <c r="J124" s="138"/>
      <c r="K124" s="138">
        <v>1</v>
      </c>
      <c r="L124" s="71">
        <f t="shared" si="12"/>
        <v>5</v>
      </c>
      <c r="M124" s="88">
        <f t="shared" si="13"/>
        <v>14</v>
      </c>
      <c r="N124" s="142">
        <v>1</v>
      </c>
      <c r="O124" s="138">
        <v>1</v>
      </c>
      <c r="P124" s="138">
        <v>16</v>
      </c>
      <c r="Q124" s="141">
        <v>19</v>
      </c>
      <c r="R124" s="140">
        <v>157</v>
      </c>
      <c r="S124" s="143">
        <v>224</v>
      </c>
      <c r="T124" s="147">
        <v>40</v>
      </c>
      <c r="U124" s="151">
        <v>21</v>
      </c>
      <c r="V124" s="148">
        <f t="shared" si="14"/>
        <v>120</v>
      </c>
      <c r="W124" s="152">
        <f t="shared" si="15"/>
        <v>196</v>
      </c>
      <c r="X124" s="140">
        <v>1</v>
      </c>
      <c r="Y124" s="138">
        <v>1</v>
      </c>
      <c r="Z124" s="138">
        <v>8</v>
      </c>
      <c r="AA124" s="143">
        <v>8</v>
      </c>
    </row>
    <row r="125" spans="2:27" ht="15" customHeight="1">
      <c r="B125" s="97" t="s">
        <v>204</v>
      </c>
      <c r="C125" s="20"/>
      <c r="D125" s="20"/>
      <c r="E125" s="107">
        <v>106</v>
      </c>
      <c r="F125" s="140">
        <v>41</v>
      </c>
      <c r="G125" s="141">
        <v>70</v>
      </c>
      <c r="H125" s="140">
        <v>12</v>
      </c>
      <c r="I125" s="138">
        <v>26</v>
      </c>
      <c r="J125" s="138"/>
      <c r="K125" s="138"/>
      <c r="L125" s="71">
        <f t="shared" si="12"/>
        <v>12</v>
      </c>
      <c r="M125" s="88">
        <f t="shared" si="13"/>
        <v>26</v>
      </c>
      <c r="N125" s="142">
        <v>4</v>
      </c>
      <c r="O125" s="138"/>
      <c r="P125" s="138">
        <v>20</v>
      </c>
      <c r="Q125" s="141">
        <v>24</v>
      </c>
      <c r="R125" s="140">
        <v>505</v>
      </c>
      <c r="S125" s="143">
        <v>671</v>
      </c>
      <c r="T125" s="147">
        <v>114</v>
      </c>
      <c r="U125" s="151">
        <v>47</v>
      </c>
      <c r="V125" s="148">
        <f t="shared" si="14"/>
        <v>380</v>
      </c>
      <c r="W125" s="152">
        <f t="shared" si="15"/>
        <v>560</v>
      </c>
      <c r="X125" s="140">
        <v>4</v>
      </c>
      <c r="Y125" s="138">
        <v>4</v>
      </c>
      <c r="Z125" s="138">
        <v>22</v>
      </c>
      <c r="AA125" s="143">
        <v>22</v>
      </c>
    </row>
    <row r="126" spans="2:27" ht="15" customHeight="1">
      <c r="B126" s="97" t="s">
        <v>205</v>
      </c>
      <c r="C126" s="20"/>
      <c r="D126" s="20"/>
      <c r="E126" s="33">
        <v>107</v>
      </c>
      <c r="F126" s="140">
        <v>37</v>
      </c>
      <c r="G126" s="141">
        <v>50</v>
      </c>
      <c r="H126" s="140">
        <v>8</v>
      </c>
      <c r="I126" s="138">
        <v>12</v>
      </c>
      <c r="J126" s="138"/>
      <c r="K126" s="138"/>
      <c r="L126" s="71">
        <f t="shared" si="12"/>
        <v>8</v>
      </c>
      <c r="M126" s="88">
        <f t="shared" si="13"/>
        <v>12</v>
      </c>
      <c r="N126" s="142">
        <v>6</v>
      </c>
      <c r="O126" s="138"/>
      <c r="P126" s="138">
        <v>25</v>
      </c>
      <c r="Q126" s="141">
        <v>31</v>
      </c>
      <c r="R126" s="140">
        <v>287</v>
      </c>
      <c r="S126" s="143">
        <v>362</v>
      </c>
      <c r="T126" s="147">
        <v>71</v>
      </c>
      <c r="U126" s="151">
        <v>24</v>
      </c>
      <c r="V126" s="148">
        <f t="shared" si="14"/>
        <v>231</v>
      </c>
      <c r="W126" s="152">
        <f t="shared" si="15"/>
        <v>310</v>
      </c>
      <c r="X126" s="140">
        <v>1</v>
      </c>
      <c r="Y126" s="138">
        <v>1</v>
      </c>
      <c r="Z126" s="138">
        <v>22</v>
      </c>
      <c r="AA126" s="143">
        <v>22</v>
      </c>
    </row>
    <row r="127" spans="2:27" ht="15" customHeight="1">
      <c r="B127" s="97" t="s">
        <v>206</v>
      </c>
      <c r="C127" s="20"/>
      <c r="D127" s="20"/>
      <c r="E127" s="33">
        <v>108</v>
      </c>
      <c r="F127" s="140">
        <v>28</v>
      </c>
      <c r="G127" s="141">
        <v>42</v>
      </c>
      <c r="H127" s="140">
        <v>3</v>
      </c>
      <c r="I127" s="138">
        <v>6</v>
      </c>
      <c r="J127" s="138"/>
      <c r="K127" s="138"/>
      <c r="L127" s="71">
        <f t="shared" si="12"/>
        <v>3</v>
      </c>
      <c r="M127" s="88">
        <f t="shared" si="13"/>
        <v>6</v>
      </c>
      <c r="N127" s="142"/>
      <c r="O127" s="138"/>
      <c r="P127" s="138">
        <v>16</v>
      </c>
      <c r="Q127" s="141">
        <v>16</v>
      </c>
      <c r="R127" s="140">
        <v>190</v>
      </c>
      <c r="S127" s="143">
        <v>324</v>
      </c>
      <c r="T127" s="147">
        <v>31</v>
      </c>
      <c r="U127" s="151">
        <v>16</v>
      </c>
      <c r="V127" s="148">
        <f t="shared" si="14"/>
        <v>162</v>
      </c>
      <c r="W127" s="152">
        <f t="shared" si="15"/>
        <v>299</v>
      </c>
      <c r="X127" s="140">
        <v>5</v>
      </c>
      <c r="Y127" s="138">
        <v>5</v>
      </c>
      <c r="Z127" s="138">
        <v>16</v>
      </c>
      <c r="AA127" s="143">
        <v>16</v>
      </c>
    </row>
    <row r="128" spans="2:27" ht="15" customHeight="1">
      <c r="B128" s="97" t="s">
        <v>207</v>
      </c>
      <c r="C128" s="20">
        <v>1</v>
      </c>
      <c r="D128" s="20" t="s">
        <v>47</v>
      </c>
      <c r="E128" s="107">
        <v>109</v>
      </c>
      <c r="F128" s="140">
        <v>288</v>
      </c>
      <c r="G128" s="141">
        <v>599</v>
      </c>
      <c r="H128" s="140">
        <v>86</v>
      </c>
      <c r="I128" s="138">
        <v>188</v>
      </c>
      <c r="J128" s="138">
        <v>6</v>
      </c>
      <c r="K128" s="138">
        <v>26</v>
      </c>
      <c r="L128" s="71">
        <f t="shared" si="12"/>
        <v>92</v>
      </c>
      <c r="M128" s="88">
        <f t="shared" si="13"/>
        <v>214</v>
      </c>
      <c r="N128" s="142">
        <v>9</v>
      </c>
      <c r="O128" s="138"/>
      <c r="P128" s="138">
        <v>77</v>
      </c>
      <c r="Q128" s="141">
        <v>88</v>
      </c>
      <c r="R128" s="140">
        <v>1261</v>
      </c>
      <c r="S128" s="143">
        <v>1972</v>
      </c>
      <c r="T128" s="147">
        <v>254</v>
      </c>
      <c r="U128" s="151">
        <v>109</v>
      </c>
      <c r="V128" s="148">
        <f t="shared" si="14"/>
        <v>1078</v>
      </c>
      <c r="W128" s="152">
        <f t="shared" si="15"/>
        <v>1911</v>
      </c>
      <c r="X128" s="140">
        <v>9</v>
      </c>
      <c r="Y128" s="138">
        <v>10</v>
      </c>
      <c r="Z128" s="138">
        <v>46</v>
      </c>
      <c r="AA128" s="143">
        <v>46</v>
      </c>
    </row>
    <row r="129" spans="2:27" ht="15" customHeight="1">
      <c r="B129" s="97" t="s">
        <v>208</v>
      </c>
      <c r="C129" s="20"/>
      <c r="D129" s="20"/>
      <c r="E129" s="33">
        <v>110</v>
      </c>
      <c r="F129" s="140">
        <v>211</v>
      </c>
      <c r="G129" s="141">
        <v>332</v>
      </c>
      <c r="H129" s="140">
        <v>44</v>
      </c>
      <c r="I129" s="138">
        <v>93</v>
      </c>
      <c r="J129" s="138">
        <v>5</v>
      </c>
      <c r="K129" s="138">
        <v>20</v>
      </c>
      <c r="L129" s="71">
        <f t="shared" si="12"/>
        <v>49</v>
      </c>
      <c r="M129" s="88">
        <f t="shared" si="13"/>
        <v>113</v>
      </c>
      <c r="N129" s="142">
        <v>21</v>
      </c>
      <c r="O129" s="138"/>
      <c r="P129" s="138">
        <v>60</v>
      </c>
      <c r="Q129" s="141">
        <v>81</v>
      </c>
      <c r="R129" s="140">
        <v>876</v>
      </c>
      <c r="S129" s="143">
        <v>1176</v>
      </c>
      <c r="T129" s="147">
        <v>187</v>
      </c>
      <c r="U129" s="151">
        <v>62</v>
      </c>
      <c r="V129" s="148">
        <f t="shared" si="14"/>
        <v>757</v>
      </c>
      <c r="W129" s="152">
        <f t="shared" si="15"/>
        <v>1121</v>
      </c>
      <c r="X129" s="140">
        <v>19</v>
      </c>
      <c r="Y129" s="138">
        <v>19</v>
      </c>
      <c r="Z129" s="138">
        <v>78</v>
      </c>
      <c r="AA129" s="143">
        <v>78</v>
      </c>
    </row>
    <row r="130" spans="2:27" ht="15" customHeight="1">
      <c r="B130" s="97" t="s">
        <v>209</v>
      </c>
      <c r="C130" s="20">
        <v>1</v>
      </c>
      <c r="D130" s="20" t="s">
        <v>52</v>
      </c>
      <c r="E130" s="33">
        <v>111</v>
      </c>
      <c r="F130" s="140">
        <v>140</v>
      </c>
      <c r="G130" s="141">
        <v>249</v>
      </c>
      <c r="H130" s="140">
        <v>39</v>
      </c>
      <c r="I130" s="138">
        <v>72</v>
      </c>
      <c r="J130" s="138">
        <v>1</v>
      </c>
      <c r="K130" s="138">
        <v>4</v>
      </c>
      <c r="L130" s="71">
        <f t="shared" si="12"/>
        <v>40</v>
      </c>
      <c r="M130" s="88">
        <f t="shared" si="13"/>
        <v>76</v>
      </c>
      <c r="N130" s="142">
        <v>12</v>
      </c>
      <c r="O130" s="138"/>
      <c r="P130" s="138">
        <v>28</v>
      </c>
      <c r="Q130" s="141">
        <v>40</v>
      </c>
      <c r="R130" s="140">
        <v>540</v>
      </c>
      <c r="S130" s="143">
        <v>930</v>
      </c>
      <c r="T130" s="147">
        <v>95</v>
      </c>
      <c r="U130" s="151">
        <v>32</v>
      </c>
      <c r="V130" s="148">
        <f t="shared" si="14"/>
        <v>493</v>
      </c>
      <c r="W130" s="152">
        <f t="shared" si="15"/>
        <v>919</v>
      </c>
      <c r="X130" s="140">
        <v>10</v>
      </c>
      <c r="Y130" s="138">
        <v>10</v>
      </c>
      <c r="Z130" s="138">
        <v>44</v>
      </c>
      <c r="AA130" s="143">
        <v>44</v>
      </c>
    </row>
    <row r="131" spans="2:27" ht="15" customHeight="1">
      <c r="B131" s="97" t="s">
        <v>210</v>
      </c>
      <c r="C131" s="20">
        <v>1</v>
      </c>
      <c r="D131" s="20" t="s">
        <v>47</v>
      </c>
      <c r="E131" s="107">
        <v>112</v>
      </c>
      <c r="F131" s="140">
        <v>24</v>
      </c>
      <c r="G131" s="141">
        <v>42</v>
      </c>
      <c r="H131" s="140">
        <v>2</v>
      </c>
      <c r="I131" s="138">
        <v>4</v>
      </c>
      <c r="J131" s="138"/>
      <c r="K131" s="138">
        <v>1</v>
      </c>
      <c r="L131" s="71">
        <f t="shared" si="12"/>
        <v>2</v>
      </c>
      <c r="M131" s="88">
        <f t="shared" si="13"/>
        <v>5</v>
      </c>
      <c r="N131" s="142">
        <v>9</v>
      </c>
      <c r="O131" s="138"/>
      <c r="P131" s="138">
        <v>11</v>
      </c>
      <c r="Q131" s="141">
        <v>20</v>
      </c>
      <c r="R131" s="140">
        <v>127</v>
      </c>
      <c r="S131" s="143">
        <v>208</v>
      </c>
      <c r="T131" s="147">
        <v>31</v>
      </c>
      <c r="U131" s="151">
        <v>10</v>
      </c>
      <c r="V131" s="148">
        <f t="shared" si="14"/>
        <v>108</v>
      </c>
      <c r="W131" s="152">
        <f t="shared" si="15"/>
        <v>192</v>
      </c>
      <c r="X131" s="140">
        <v>1</v>
      </c>
      <c r="Y131" s="138">
        <v>1</v>
      </c>
      <c r="Z131" s="138">
        <v>5</v>
      </c>
      <c r="AA131" s="143">
        <v>5</v>
      </c>
    </row>
    <row r="132" spans="2:27" ht="15" customHeight="1">
      <c r="B132" s="97" t="s">
        <v>211</v>
      </c>
      <c r="C132" s="20"/>
      <c r="D132" s="20"/>
      <c r="E132" s="33">
        <v>113</v>
      </c>
      <c r="F132" s="140">
        <v>79</v>
      </c>
      <c r="G132" s="141">
        <v>143</v>
      </c>
      <c r="H132" s="140">
        <v>15</v>
      </c>
      <c r="I132" s="138">
        <v>37</v>
      </c>
      <c r="J132" s="138">
        <v>1</v>
      </c>
      <c r="K132" s="138">
        <v>4</v>
      </c>
      <c r="L132" s="71">
        <f t="shared" si="12"/>
        <v>16</v>
      </c>
      <c r="M132" s="88">
        <f t="shared" si="13"/>
        <v>41</v>
      </c>
      <c r="N132" s="142">
        <v>26</v>
      </c>
      <c r="O132" s="138"/>
      <c r="P132" s="138">
        <v>26</v>
      </c>
      <c r="Q132" s="141">
        <v>52</v>
      </c>
      <c r="R132" s="140">
        <v>402</v>
      </c>
      <c r="S132" s="143">
        <v>592</v>
      </c>
      <c r="T132" s="147">
        <v>80</v>
      </c>
      <c r="U132" s="151">
        <v>42</v>
      </c>
      <c r="V132" s="148">
        <f t="shared" si="14"/>
        <v>348</v>
      </c>
      <c r="W132" s="152">
        <f t="shared" si="15"/>
        <v>563</v>
      </c>
      <c r="X132" s="140">
        <v>7</v>
      </c>
      <c r="Y132" s="138">
        <v>9</v>
      </c>
      <c r="Z132" s="138">
        <v>27</v>
      </c>
      <c r="AA132" s="143">
        <v>27</v>
      </c>
    </row>
    <row r="133" spans="2:27" ht="15" customHeight="1">
      <c r="B133" s="97" t="s">
        <v>212</v>
      </c>
      <c r="C133" s="20">
        <v>1</v>
      </c>
      <c r="D133" s="20" t="s">
        <v>47</v>
      </c>
      <c r="E133" s="33">
        <v>114</v>
      </c>
      <c r="F133" s="140">
        <v>32</v>
      </c>
      <c r="G133" s="141">
        <v>47</v>
      </c>
      <c r="H133" s="140">
        <v>8</v>
      </c>
      <c r="I133" s="138">
        <v>16</v>
      </c>
      <c r="J133" s="138"/>
      <c r="K133" s="138"/>
      <c r="L133" s="71">
        <f t="shared" si="12"/>
        <v>8</v>
      </c>
      <c r="M133" s="88">
        <f t="shared" si="13"/>
        <v>16</v>
      </c>
      <c r="N133" s="142">
        <v>1</v>
      </c>
      <c r="O133" s="138"/>
      <c r="P133" s="138">
        <v>14</v>
      </c>
      <c r="Q133" s="141">
        <v>15</v>
      </c>
      <c r="R133" s="140">
        <v>127</v>
      </c>
      <c r="S133" s="143">
        <v>197</v>
      </c>
      <c r="T133" s="147">
        <v>25</v>
      </c>
      <c r="U133" s="151">
        <v>10</v>
      </c>
      <c r="V133" s="148">
        <f t="shared" si="14"/>
        <v>115</v>
      </c>
      <c r="W133" s="152">
        <f t="shared" si="15"/>
        <v>193</v>
      </c>
      <c r="X133" s="140">
        <v>5</v>
      </c>
      <c r="Y133" s="138">
        <v>5</v>
      </c>
      <c r="Z133" s="138">
        <v>8</v>
      </c>
      <c r="AA133" s="143">
        <v>8</v>
      </c>
    </row>
    <row r="134" spans="2:27" ht="15" customHeight="1">
      <c r="B134" s="97" t="s">
        <v>213</v>
      </c>
      <c r="C134" s="20"/>
      <c r="D134" s="20"/>
      <c r="E134" s="107">
        <v>115</v>
      </c>
      <c r="F134" s="140">
        <v>26</v>
      </c>
      <c r="G134" s="141">
        <v>49</v>
      </c>
      <c r="H134" s="140">
        <v>4</v>
      </c>
      <c r="I134" s="138">
        <v>8</v>
      </c>
      <c r="J134" s="138"/>
      <c r="K134" s="138">
        <v>1</v>
      </c>
      <c r="L134" s="71">
        <f t="shared" si="12"/>
        <v>4</v>
      </c>
      <c r="M134" s="88">
        <f t="shared" si="13"/>
        <v>9</v>
      </c>
      <c r="N134" s="142">
        <v>4</v>
      </c>
      <c r="O134" s="138"/>
      <c r="P134" s="138">
        <v>9</v>
      </c>
      <c r="Q134" s="141">
        <v>14</v>
      </c>
      <c r="R134" s="140">
        <v>393</v>
      </c>
      <c r="S134" s="143">
        <v>510</v>
      </c>
      <c r="T134" s="147">
        <v>104</v>
      </c>
      <c r="U134" s="151">
        <v>24</v>
      </c>
      <c r="V134" s="148">
        <f t="shared" si="14"/>
        <v>283</v>
      </c>
      <c r="W134" s="152">
        <f t="shared" si="15"/>
        <v>405</v>
      </c>
      <c r="X134" s="140">
        <v>3</v>
      </c>
      <c r="Y134" s="138">
        <v>3</v>
      </c>
      <c r="Z134" s="138">
        <v>10</v>
      </c>
      <c r="AA134" s="143">
        <v>10</v>
      </c>
    </row>
    <row r="135" spans="2:27" ht="15" customHeight="1">
      <c r="B135" s="97" t="s">
        <v>214</v>
      </c>
      <c r="C135" s="20">
        <v>1</v>
      </c>
      <c r="D135" s="20" t="s">
        <v>47</v>
      </c>
      <c r="E135" s="33">
        <v>116</v>
      </c>
      <c r="F135" s="140">
        <v>281</v>
      </c>
      <c r="G135" s="141">
        <v>553</v>
      </c>
      <c r="H135" s="140">
        <v>65</v>
      </c>
      <c r="I135" s="138">
        <v>133</v>
      </c>
      <c r="J135" s="138">
        <v>7</v>
      </c>
      <c r="K135" s="138">
        <v>30</v>
      </c>
      <c r="L135" s="71">
        <f t="shared" si="12"/>
        <v>72</v>
      </c>
      <c r="M135" s="88">
        <f t="shared" si="13"/>
        <v>163</v>
      </c>
      <c r="N135" s="142">
        <v>28</v>
      </c>
      <c r="O135" s="138"/>
      <c r="P135" s="138">
        <v>50</v>
      </c>
      <c r="Q135" s="141">
        <v>79</v>
      </c>
      <c r="R135" s="140">
        <v>1089</v>
      </c>
      <c r="S135" s="143">
        <v>1591</v>
      </c>
      <c r="T135" s="147">
        <v>331</v>
      </c>
      <c r="U135" s="151">
        <v>47</v>
      </c>
      <c r="V135" s="148">
        <f t="shared" si="14"/>
        <v>862</v>
      </c>
      <c r="W135" s="152">
        <f t="shared" si="15"/>
        <v>1455</v>
      </c>
      <c r="X135" s="140">
        <v>13</v>
      </c>
      <c r="Y135" s="138">
        <v>13</v>
      </c>
      <c r="Z135" s="138">
        <v>55</v>
      </c>
      <c r="AA135" s="143">
        <v>55</v>
      </c>
    </row>
    <row r="136" spans="2:27" ht="15" customHeight="1">
      <c r="B136" s="97" t="s">
        <v>215</v>
      </c>
      <c r="C136" s="20"/>
      <c r="D136" s="20"/>
      <c r="E136" s="33">
        <v>117</v>
      </c>
      <c r="F136" s="140">
        <v>10</v>
      </c>
      <c r="G136" s="141">
        <v>17</v>
      </c>
      <c r="H136" s="140">
        <v>1</v>
      </c>
      <c r="I136" s="138">
        <v>3</v>
      </c>
      <c r="J136" s="138"/>
      <c r="K136" s="138"/>
      <c r="L136" s="71">
        <f t="shared" si="12"/>
        <v>1</v>
      </c>
      <c r="M136" s="88">
        <f t="shared" si="13"/>
        <v>3</v>
      </c>
      <c r="N136" s="142">
        <v>1</v>
      </c>
      <c r="O136" s="138"/>
      <c r="P136" s="138">
        <v>4</v>
      </c>
      <c r="Q136" s="141">
        <v>6</v>
      </c>
      <c r="R136" s="140">
        <v>55</v>
      </c>
      <c r="S136" s="143">
        <v>82</v>
      </c>
      <c r="T136" s="147">
        <v>11</v>
      </c>
      <c r="U136" s="151">
        <v>3</v>
      </c>
      <c r="V136" s="148">
        <f t="shared" si="14"/>
        <v>48</v>
      </c>
      <c r="W136" s="152">
        <f t="shared" si="15"/>
        <v>77</v>
      </c>
      <c r="X136" s="140">
        <v>1</v>
      </c>
      <c r="Y136" s="138">
        <v>3</v>
      </c>
      <c r="Z136" s="138">
        <v>3</v>
      </c>
      <c r="AA136" s="143">
        <v>3</v>
      </c>
    </row>
    <row r="137" spans="2:27" ht="15" customHeight="1">
      <c r="B137" s="97" t="s">
        <v>216</v>
      </c>
      <c r="C137" s="20"/>
      <c r="D137" s="20"/>
      <c r="E137" s="107">
        <v>118</v>
      </c>
      <c r="F137" s="140">
        <v>37</v>
      </c>
      <c r="G137" s="141">
        <v>46</v>
      </c>
      <c r="H137" s="140">
        <v>5</v>
      </c>
      <c r="I137" s="138">
        <v>8</v>
      </c>
      <c r="J137" s="138"/>
      <c r="K137" s="138"/>
      <c r="L137" s="71">
        <f t="shared" si="12"/>
        <v>5</v>
      </c>
      <c r="M137" s="88">
        <f t="shared" si="13"/>
        <v>8</v>
      </c>
      <c r="N137" s="142">
        <v>5</v>
      </c>
      <c r="O137" s="138"/>
      <c r="P137" s="138">
        <v>7</v>
      </c>
      <c r="Q137" s="141">
        <v>12</v>
      </c>
      <c r="R137" s="140">
        <v>419</v>
      </c>
      <c r="S137" s="143">
        <v>518</v>
      </c>
      <c r="T137" s="147">
        <v>110</v>
      </c>
      <c r="U137" s="151">
        <v>40</v>
      </c>
      <c r="V137" s="148">
        <f t="shared" si="14"/>
        <v>286</v>
      </c>
      <c r="W137" s="152">
        <f t="shared" si="15"/>
        <v>388</v>
      </c>
      <c r="X137" s="140">
        <v>5</v>
      </c>
      <c r="Y137" s="138">
        <v>5</v>
      </c>
      <c r="Z137" s="138">
        <v>14</v>
      </c>
      <c r="AA137" s="143">
        <v>14</v>
      </c>
    </row>
    <row r="138" spans="2:27" ht="15" customHeight="1">
      <c r="B138" s="97" t="s">
        <v>217</v>
      </c>
      <c r="C138" s="20"/>
      <c r="D138" s="20"/>
      <c r="E138" s="33">
        <v>119</v>
      </c>
      <c r="F138" s="140">
        <v>101</v>
      </c>
      <c r="G138" s="141">
        <v>155</v>
      </c>
      <c r="H138" s="140">
        <v>15</v>
      </c>
      <c r="I138" s="138">
        <v>30</v>
      </c>
      <c r="J138" s="138">
        <v>3</v>
      </c>
      <c r="K138" s="138">
        <v>12</v>
      </c>
      <c r="L138" s="71">
        <f t="shared" si="12"/>
        <v>18</v>
      </c>
      <c r="M138" s="88">
        <f t="shared" si="13"/>
        <v>42</v>
      </c>
      <c r="N138" s="142">
        <v>22</v>
      </c>
      <c r="O138" s="138"/>
      <c r="P138" s="138">
        <v>32</v>
      </c>
      <c r="Q138" s="141">
        <v>55</v>
      </c>
      <c r="R138" s="140">
        <v>943</v>
      </c>
      <c r="S138" s="143">
        <v>1112</v>
      </c>
      <c r="T138" s="147">
        <v>216</v>
      </c>
      <c r="U138" s="151">
        <v>88</v>
      </c>
      <c r="V138" s="148">
        <f t="shared" si="14"/>
        <v>712</v>
      </c>
      <c r="W138" s="152">
        <f t="shared" si="15"/>
        <v>905</v>
      </c>
      <c r="X138" s="140">
        <v>11</v>
      </c>
      <c r="Y138" s="138">
        <v>11</v>
      </c>
      <c r="Z138" s="138">
        <v>40</v>
      </c>
      <c r="AA138" s="143">
        <v>40</v>
      </c>
    </row>
    <row r="139" spans="2:27" ht="15" customHeight="1">
      <c r="B139" s="97" t="s">
        <v>218</v>
      </c>
      <c r="C139" s="20">
        <v>1</v>
      </c>
      <c r="D139" s="20" t="s">
        <v>52</v>
      </c>
      <c r="E139" s="33">
        <v>120</v>
      </c>
      <c r="F139" s="140">
        <v>2</v>
      </c>
      <c r="G139" s="141">
        <v>2</v>
      </c>
      <c r="H139" s="140"/>
      <c r="I139" s="138"/>
      <c r="J139" s="138"/>
      <c r="K139" s="138"/>
      <c r="L139" s="71">
        <f t="shared" si="12"/>
        <v>0</v>
      </c>
      <c r="M139" s="88">
        <f t="shared" si="13"/>
        <v>0</v>
      </c>
      <c r="N139" s="142">
        <v>2</v>
      </c>
      <c r="O139" s="138"/>
      <c r="P139" s="138">
        <v>5</v>
      </c>
      <c r="Q139" s="141">
        <v>8</v>
      </c>
      <c r="R139" s="140">
        <v>22</v>
      </c>
      <c r="S139" s="143">
        <v>38</v>
      </c>
      <c r="T139" s="147">
        <v>5</v>
      </c>
      <c r="U139" s="151">
        <v>3</v>
      </c>
      <c r="V139" s="148">
        <f t="shared" si="14"/>
        <v>22</v>
      </c>
      <c r="W139" s="152">
        <f t="shared" si="15"/>
        <v>38</v>
      </c>
      <c r="X139" s="140"/>
      <c r="Y139" s="138"/>
      <c r="Z139" s="138">
        <v>1</v>
      </c>
      <c r="AA139" s="143">
        <v>1</v>
      </c>
    </row>
    <row r="140" spans="2:27" ht="15" customHeight="1">
      <c r="B140" s="97" t="s">
        <v>219</v>
      </c>
      <c r="C140" s="20">
        <v>1</v>
      </c>
      <c r="D140" s="20" t="s">
        <v>47</v>
      </c>
      <c r="E140" s="107">
        <v>121</v>
      </c>
      <c r="F140" s="140">
        <v>13</v>
      </c>
      <c r="G140" s="141">
        <v>25</v>
      </c>
      <c r="H140" s="140">
        <v>4</v>
      </c>
      <c r="I140" s="138">
        <v>7</v>
      </c>
      <c r="J140" s="138">
        <v>1</v>
      </c>
      <c r="K140" s="138">
        <v>3</v>
      </c>
      <c r="L140" s="71">
        <f t="shared" si="12"/>
        <v>5</v>
      </c>
      <c r="M140" s="88">
        <f t="shared" si="13"/>
        <v>10</v>
      </c>
      <c r="N140" s="142">
        <v>1</v>
      </c>
      <c r="O140" s="138"/>
      <c r="P140" s="138">
        <v>6</v>
      </c>
      <c r="Q140" s="141">
        <v>7</v>
      </c>
      <c r="R140" s="140">
        <v>89</v>
      </c>
      <c r="S140" s="143">
        <v>138</v>
      </c>
      <c r="T140" s="147">
        <v>17</v>
      </c>
      <c r="U140" s="151">
        <v>3</v>
      </c>
      <c r="V140" s="148">
        <f t="shared" si="14"/>
        <v>81</v>
      </c>
      <c r="W140" s="152">
        <f t="shared" si="15"/>
        <v>135</v>
      </c>
      <c r="X140" s="140"/>
      <c r="Y140" s="138"/>
      <c r="Z140" s="138">
        <v>1</v>
      </c>
      <c r="AA140" s="143">
        <v>1</v>
      </c>
    </row>
    <row r="141" spans="2:27" ht="15" customHeight="1">
      <c r="B141" s="97" t="s">
        <v>220</v>
      </c>
      <c r="C141" s="20">
        <v>1</v>
      </c>
      <c r="D141" s="20" t="s">
        <v>52</v>
      </c>
      <c r="E141" s="33">
        <v>122</v>
      </c>
      <c r="F141" s="140">
        <v>12</v>
      </c>
      <c r="G141" s="141">
        <v>20</v>
      </c>
      <c r="H141" s="140">
        <v>1</v>
      </c>
      <c r="I141" s="138">
        <v>5</v>
      </c>
      <c r="J141" s="138"/>
      <c r="K141" s="138"/>
      <c r="L141" s="71">
        <f t="shared" si="12"/>
        <v>1</v>
      </c>
      <c r="M141" s="88">
        <f t="shared" si="13"/>
        <v>5</v>
      </c>
      <c r="N141" s="142">
        <v>6</v>
      </c>
      <c r="O141" s="138"/>
      <c r="P141" s="138">
        <v>2</v>
      </c>
      <c r="Q141" s="141">
        <v>8</v>
      </c>
      <c r="R141" s="140">
        <v>151</v>
      </c>
      <c r="S141" s="143">
        <v>220</v>
      </c>
      <c r="T141" s="147">
        <v>26</v>
      </c>
      <c r="U141" s="151">
        <v>15</v>
      </c>
      <c r="V141" s="148">
        <f t="shared" si="14"/>
        <v>119</v>
      </c>
      <c r="W141" s="152">
        <f t="shared" si="15"/>
        <v>192</v>
      </c>
      <c r="X141" s="140"/>
      <c r="Y141" s="138"/>
      <c r="Z141" s="138">
        <v>6</v>
      </c>
      <c r="AA141" s="143">
        <v>6</v>
      </c>
    </row>
    <row r="142" spans="2:27" ht="15" customHeight="1">
      <c r="B142" s="97" t="s">
        <v>221</v>
      </c>
      <c r="C142" s="20">
        <v>1</v>
      </c>
      <c r="D142" s="20" t="s">
        <v>47</v>
      </c>
      <c r="E142" s="33">
        <v>123</v>
      </c>
      <c r="F142" s="140">
        <v>4</v>
      </c>
      <c r="G142" s="141">
        <v>6</v>
      </c>
      <c r="H142" s="140">
        <v>1</v>
      </c>
      <c r="I142" s="138">
        <v>2</v>
      </c>
      <c r="J142" s="138"/>
      <c r="K142" s="138"/>
      <c r="L142" s="71">
        <f t="shared" si="12"/>
        <v>1</v>
      </c>
      <c r="M142" s="88">
        <f t="shared" si="13"/>
        <v>2</v>
      </c>
      <c r="N142" s="142"/>
      <c r="O142" s="138"/>
      <c r="P142" s="138">
        <v>1</v>
      </c>
      <c r="Q142" s="141">
        <v>1</v>
      </c>
      <c r="R142" s="140">
        <v>35</v>
      </c>
      <c r="S142" s="143">
        <v>59</v>
      </c>
      <c r="T142" s="147">
        <v>1</v>
      </c>
      <c r="U142" s="151">
        <v>2</v>
      </c>
      <c r="V142" s="148">
        <f t="shared" si="14"/>
        <v>34</v>
      </c>
      <c r="W142" s="152">
        <f t="shared" si="15"/>
        <v>59</v>
      </c>
      <c r="X142" s="140"/>
      <c r="Y142" s="138"/>
      <c r="Z142" s="138">
        <v>1</v>
      </c>
      <c r="AA142" s="143">
        <v>1</v>
      </c>
    </row>
    <row r="143" spans="2:27" ht="15" customHeight="1">
      <c r="B143" s="97" t="s">
        <v>222</v>
      </c>
      <c r="C143" s="20"/>
      <c r="D143" s="20"/>
      <c r="E143" s="107">
        <v>124</v>
      </c>
      <c r="F143" s="140">
        <v>183</v>
      </c>
      <c r="G143" s="141">
        <v>332</v>
      </c>
      <c r="H143" s="140">
        <v>42</v>
      </c>
      <c r="I143" s="138">
        <v>102</v>
      </c>
      <c r="J143" s="138">
        <v>1</v>
      </c>
      <c r="K143" s="138">
        <v>1</v>
      </c>
      <c r="L143" s="71">
        <f t="shared" si="12"/>
        <v>43</v>
      </c>
      <c r="M143" s="88">
        <f t="shared" si="13"/>
        <v>103</v>
      </c>
      <c r="N143" s="142">
        <v>5</v>
      </c>
      <c r="O143" s="138"/>
      <c r="P143" s="138">
        <v>39</v>
      </c>
      <c r="Q143" s="141">
        <v>44</v>
      </c>
      <c r="R143" s="140">
        <v>701</v>
      </c>
      <c r="S143" s="143">
        <v>1035</v>
      </c>
      <c r="T143" s="147">
        <v>125</v>
      </c>
      <c r="U143" s="151">
        <v>51</v>
      </c>
      <c r="V143" s="148">
        <f t="shared" si="14"/>
        <v>612</v>
      </c>
      <c r="W143" s="152">
        <f t="shared" si="15"/>
        <v>1006</v>
      </c>
      <c r="X143" s="140">
        <v>13</v>
      </c>
      <c r="Y143" s="138">
        <v>13</v>
      </c>
      <c r="Z143" s="138">
        <v>42</v>
      </c>
      <c r="AA143" s="143">
        <v>42</v>
      </c>
    </row>
    <row r="144" spans="2:27" ht="15" customHeight="1">
      <c r="B144" s="97" t="s">
        <v>223</v>
      </c>
      <c r="C144" s="20">
        <v>1</v>
      </c>
      <c r="D144" s="20" t="s">
        <v>52</v>
      </c>
      <c r="E144" s="33">
        <v>125</v>
      </c>
      <c r="F144" s="140">
        <v>6</v>
      </c>
      <c r="G144" s="141">
        <v>9</v>
      </c>
      <c r="H144" s="140">
        <v>1</v>
      </c>
      <c r="I144" s="138">
        <v>3</v>
      </c>
      <c r="J144" s="138">
        <v>1</v>
      </c>
      <c r="K144" s="138">
        <v>1</v>
      </c>
      <c r="L144" s="71">
        <f t="shared" si="12"/>
        <v>2</v>
      </c>
      <c r="M144" s="88">
        <f t="shared" si="13"/>
        <v>4</v>
      </c>
      <c r="N144" s="142">
        <v>1</v>
      </c>
      <c r="O144" s="138"/>
      <c r="P144" s="138"/>
      <c r="Q144" s="141">
        <v>1</v>
      </c>
      <c r="R144" s="140">
        <v>105</v>
      </c>
      <c r="S144" s="143">
        <v>152</v>
      </c>
      <c r="T144" s="147">
        <v>18</v>
      </c>
      <c r="U144" s="151">
        <v>9</v>
      </c>
      <c r="V144" s="148">
        <f t="shared" si="14"/>
        <v>81</v>
      </c>
      <c r="W144" s="152">
        <f t="shared" si="15"/>
        <v>130</v>
      </c>
      <c r="X144" s="140"/>
      <c r="Y144" s="138"/>
      <c r="Z144" s="138">
        <v>52</v>
      </c>
      <c r="AA144" s="143">
        <v>52</v>
      </c>
    </row>
    <row r="145" spans="2:27" ht="15" customHeight="1">
      <c r="B145" s="97" t="s">
        <v>224</v>
      </c>
      <c r="C145" s="20"/>
      <c r="D145" s="20"/>
      <c r="E145" s="33">
        <v>126</v>
      </c>
      <c r="F145" s="140">
        <v>253</v>
      </c>
      <c r="G145" s="141">
        <v>421</v>
      </c>
      <c r="H145" s="140">
        <v>62</v>
      </c>
      <c r="I145" s="138">
        <v>139</v>
      </c>
      <c r="J145" s="138">
        <v>3</v>
      </c>
      <c r="K145" s="138">
        <v>13</v>
      </c>
      <c r="L145" s="71">
        <f t="shared" si="12"/>
        <v>65</v>
      </c>
      <c r="M145" s="88">
        <f t="shared" si="13"/>
        <v>152</v>
      </c>
      <c r="N145" s="142">
        <v>39</v>
      </c>
      <c r="O145" s="138"/>
      <c r="P145" s="138">
        <v>55</v>
      </c>
      <c r="Q145" s="141">
        <v>95</v>
      </c>
      <c r="R145" s="140">
        <v>1481</v>
      </c>
      <c r="S145" s="143">
        <v>1991</v>
      </c>
      <c r="T145" s="147">
        <v>304</v>
      </c>
      <c r="U145" s="151">
        <v>127</v>
      </c>
      <c r="V145" s="148">
        <f t="shared" si="14"/>
        <v>1210</v>
      </c>
      <c r="W145" s="152">
        <f t="shared" si="15"/>
        <v>1807</v>
      </c>
      <c r="X145" s="140">
        <v>18</v>
      </c>
      <c r="Y145" s="138">
        <v>18</v>
      </c>
      <c r="Z145" s="138">
        <v>80</v>
      </c>
      <c r="AA145" s="143">
        <v>80</v>
      </c>
    </row>
    <row r="146" spans="2:27" ht="15" customHeight="1">
      <c r="B146" s="97" t="s">
        <v>225</v>
      </c>
      <c r="C146" s="20">
        <v>1</v>
      </c>
      <c r="D146" s="20" t="s">
        <v>52</v>
      </c>
      <c r="E146" s="107">
        <v>127</v>
      </c>
      <c r="F146" s="140">
        <v>4</v>
      </c>
      <c r="G146" s="141">
        <v>14</v>
      </c>
      <c r="H146" s="140">
        <v>1</v>
      </c>
      <c r="I146" s="138">
        <v>3</v>
      </c>
      <c r="J146" s="138">
        <v>1</v>
      </c>
      <c r="K146" s="138">
        <v>5</v>
      </c>
      <c r="L146" s="71">
        <f t="shared" si="12"/>
        <v>2</v>
      </c>
      <c r="M146" s="88">
        <f t="shared" si="13"/>
        <v>8</v>
      </c>
      <c r="N146" s="142"/>
      <c r="O146" s="138"/>
      <c r="P146" s="138"/>
      <c r="Q146" s="141"/>
      <c r="R146" s="140">
        <v>51</v>
      </c>
      <c r="S146" s="143">
        <v>104</v>
      </c>
      <c r="T146" s="147">
        <v>3</v>
      </c>
      <c r="U146" s="151">
        <v>4</v>
      </c>
      <c r="V146" s="148">
        <f t="shared" si="14"/>
        <v>46</v>
      </c>
      <c r="W146" s="152">
        <f t="shared" si="15"/>
        <v>105</v>
      </c>
      <c r="X146" s="140"/>
      <c r="Y146" s="138"/>
      <c r="Z146" s="138">
        <v>3</v>
      </c>
      <c r="AA146" s="143">
        <v>3</v>
      </c>
    </row>
    <row r="147" spans="2:27" ht="15" customHeight="1">
      <c r="B147" s="97" t="s">
        <v>226</v>
      </c>
      <c r="C147" s="20"/>
      <c r="D147" s="20"/>
      <c r="E147" s="33">
        <v>128</v>
      </c>
      <c r="F147" s="140">
        <v>53</v>
      </c>
      <c r="G147" s="141">
        <v>69</v>
      </c>
      <c r="H147" s="140">
        <v>10</v>
      </c>
      <c r="I147" s="138">
        <v>17</v>
      </c>
      <c r="J147" s="138"/>
      <c r="K147" s="138"/>
      <c r="L147" s="71">
        <f t="shared" si="12"/>
        <v>10</v>
      </c>
      <c r="M147" s="88">
        <f t="shared" si="13"/>
        <v>17</v>
      </c>
      <c r="N147" s="142">
        <v>17</v>
      </c>
      <c r="O147" s="138"/>
      <c r="P147" s="138">
        <v>20</v>
      </c>
      <c r="Q147" s="141">
        <v>37</v>
      </c>
      <c r="R147" s="140">
        <v>456</v>
      </c>
      <c r="S147" s="143">
        <v>570</v>
      </c>
      <c r="T147" s="147">
        <v>108</v>
      </c>
      <c r="U147" s="151">
        <v>29</v>
      </c>
      <c r="V147" s="148">
        <f t="shared" si="14"/>
        <v>366</v>
      </c>
      <c r="W147" s="152">
        <f t="shared" si="15"/>
        <v>487</v>
      </c>
      <c r="X147" s="140">
        <v>5</v>
      </c>
      <c r="Y147" s="138">
        <v>5</v>
      </c>
      <c r="Z147" s="138">
        <v>22</v>
      </c>
      <c r="AA147" s="143">
        <v>22</v>
      </c>
    </row>
    <row r="148" spans="2:27" ht="15" customHeight="1">
      <c r="B148" s="97" t="s">
        <v>227</v>
      </c>
      <c r="C148" s="20"/>
      <c r="D148" s="20"/>
      <c r="E148" s="33">
        <v>129</v>
      </c>
      <c r="F148" s="140">
        <v>25</v>
      </c>
      <c r="G148" s="141">
        <v>38</v>
      </c>
      <c r="H148" s="140">
        <v>6</v>
      </c>
      <c r="I148" s="138">
        <v>12</v>
      </c>
      <c r="J148" s="138"/>
      <c r="K148" s="138"/>
      <c r="L148" s="71">
        <f aca="true" t="shared" si="16" ref="L148:L179">SUM(H148,J148)</f>
        <v>6</v>
      </c>
      <c r="M148" s="88">
        <f aca="true" t="shared" si="17" ref="M148:M179">SUM(I148,K148)</f>
        <v>12</v>
      </c>
      <c r="N148" s="142">
        <v>4</v>
      </c>
      <c r="O148" s="138"/>
      <c r="P148" s="138">
        <v>7</v>
      </c>
      <c r="Q148" s="141">
        <v>12</v>
      </c>
      <c r="R148" s="140">
        <v>180</v>
      </c>
      <c r="S148" s="143">
        <v>260</v>
      </c>
      <c r="T148" s="147">
        <v>39</v>
      </c>
      <c r="U148" s="151">
        <v>16</v>
      </c>
      <c r="V148" s="148">
        <f aca="true" t="shared" si="18" ref="V148:V179">SUM(L148+Q148+R148-T148-U148)</f>
        <v>143</v>
      </c>
      <c r="W148" s="152">
        <f aca="true" t="shared" si="19" ref="W148:W179">SUM(M148+Q148+S148-T148-U148)</f>
        <v>229</v>
      </c>
      <c r="X148" s="140">
        <v>2</v>
      </c>
      <c r="Y148" s="138">
        <v>2</v>
      </c>
      <c r="Z148" s="138">
        <v>8</v>
      </c>
      <c r="AA148" s="143">
        <v>8</v>
      </c>
    </row>
    <row r="149" spans="2:27" ht="15" customHeight="1">
      <c r="B149" s="97" t="s">
        <v>228</v>
      </c>
      <c r="C149" s="20"/>
      <c r="D149" s="20"/>
      <c r="E149" s="33">
        <v>132</v>
      </c>
      <c r="F149" s="140">
        <v>76</v>
      </c>
      <c r="G149" s="141">
        <v>123</v>
      </c>
      <c r="H149" s="140">
        <v>25</v>
      </c>
      <c r="I149" s="138">
        <v>51</v>
      </c>
      <c r="J149" s="138"/>
      <c r="K149" s="138">
        <v>3</v>
      </c>
      <c r="L149" s="71">
        <f t="shared" si="16"/>
        <v>25</v>
      </c>
      <c r="M149" s="88">
        <f t="shared" si="17"/>
        <v>54</v>
      </c>
      <c r="N149" s="142">
        <v>20</v>
      </c>
      <c r="O149" s="138">
        <v>1</v>
      </c>
      <c r="P149" s="138">
        <v>29</v>
      </c>
      <c r="Q149" s="141">
        <v>50</v>
      </c>
      <c r="R149" s="140">
        <v>571</v>
      </c>
      <c r="S149" s="143">
        <v>773</v>
      </c>
      <c r="T149" s="147">
        <v>122</v>
      </c>
      <c r="U149" s="151">
        <v>49</v>
      </c>
      <c r="V149" s="148">
        <f t="shared" si="18"/>
        <v>475</v>
      </c>
      <c r="W149" s="152">
        <f t="shared" si="19"/>
        <v>706</v>
      </c>
      <c r="X149" s="140">
        <v>11</v>
      </c>
      <c r="Y149" s="138">
        <v>11</v>
      </c>
      <c r="Z149" s="138">
        <v>33</v>
      </c>
      <c r="AA149" s="143">
        <v>33</v>
      </c>
    </row>
    <row r="150" spans="2:27" ht="15" customHeight="1">
      <c r="B150" s="97" t="s">
        <v>229</v>
      </c>
      <c r="C150" s="20"/>
      <c r="D150" s="20"/>
      <c r="E150" s="107">
        <v>130</v>
      </c>
      <c r="F150" s="140">
        <v>37</v>
      </c>
      <c r="G150" s="141">
        <v>64</v>
      </c>
      <c r="H150" s="140">
        <v>11</v>
      </c>
      <c r="I150" s="138">
        <v>18</v>
      </c>
      <c r="J150" s="138"/>
      <c r="K150" s="138"/>
      <c r="L150" s="71">
        <f t="shared" si="16"/>
        <v>11</v>
      </c>
      <c r="M150" s="88">
        <f t="shared" si="17"/>
        <v>18</v>
      </c>
      <c r="N150" s="142">
        <v>16</v>
      </c>
      <c r="O150" s="138">
        <v>1</v>
      </c>
      <c r="P150" s="138">
        <v>31</v>
      </c>
      <c r="Q150" s="141">
        <v>49</v>
      </c>
      <c r="R150" s="140">
        <v>1640</v>
      </c>
      <c r="S150" s="143">
        <v>1765</v>
      </c>
      <c r="T150" s="147">
        <v>642</v>
      </c>
      <c r="U150" s="151">
        <v>82</v>
      </c>
      <c r="V150" s="148">
        <f t="shared" si="18"/>
        <v>976</v>
      </c>
      <c r="W150" s="152">
        <f t="shared" si="19"/>
        <v>1108</v>
      </c>
      <c r="X150" s="140">
        <v>2</v>
      </c>
      <c r="Y150" s="138">
        <v>2</v>
      </c>
      <c r="Z150" s="138">
        <v>18</v>
      </c>
      <c r="AA150" s="143">
        <v>18</v>
      </c>
    </row>
    <row r="151" spans="2:27" ht="15" customHeight="1">
      <c r="B151" s="97" t="s">
        <v>230</v>
      </c>
      <c r="C151" s="20"/>
      <c r="D151" s="20"/>
      <c r="E151" s="33">
        <v>131</v>
      </c>
      <c r="F151" s="140">
        <v>299</v>
      </c>
      <c r="G151" s="141">
        <v>521</v>
      </c>
      <c r="H151" s="140">
        <v>75</v>
      </c>
      <c r="I151" s="138">
        <v>154</v>
      </c>
      <c r="J151" s="138">
        <v>7</v>
      </c>
      <c r="K151" s="138">
        <v>29</v>
      </c>
      <c r="L151" s="71">
        <f t="shared" si="16"/>
        <v>82</v>
      </c>
      <c r="M151" s="88">
        <f t="shared" si="17"/>
        <v>183</v>
      </c>
      <c r="N151" s="142">
        <v>17</v>
      </c>
      <c r="O151" s="138">
        <v>3</v>
      </c>
      <c r="P151" s="138">
        <v>56</v>
      </c>
      <c r="Q151" s="141">
        <v>77</v>
      </c>
      <c r="R151" s="140">
        <v>1513</v>
      </c>
      <c r="S151" s="143">
        <v>2137</v>
      </c>
      <c r="T151" s="147">
        <v>336</v>
      </c>
      <c r="U151" s="151">
        <v>136</v>
      </c>
      <c r="V151" s="148">
        <f t="shared" si="18"/>
        <v>1200</v>
      </c>
      <c r="W151" s="152">
        <f t="shared" si="19"/>
        <v>1925</v>
      </c>
      <c r="X151" s="140">
        <v>18</v>
      </c>
      <c r="Y151" s="138">
        <v>18</v>
      </c>
      <c r="Z151" s="138">
        <v>87</v>
      </c>
      <c r="AA151" s="143">
        <v>87</v>
      </c>
    </row>
    <row r="152" spans="2:27" ht="15" customHeight="1">
      <c r="B152" s="97" t="s">
        <v>231</v>
      </c>
      <c r="C152" s="20">
        <v>1</v>
      </c>
      <c r="D152" s="20" t="s">
        <v>47</v>
      </c>
      <c r="E152" s="107">
        <v>133</v>
      </c>
      <c r="F152" s="140">
        <v>46</v>
      </c>
      <c r="G152" s="141">
        <v>93</v>
      </c>
      <c r="H152" s="140">
        <v>17</v>
      </c>
      <c r="I152" s="138">
        <v>30</v>
      </c>
      <c r="J152" s="138"/>
      <c r="K152" s="138">
        <v>4</v>
      </c>
      <c r="L152" s="71">
        <f t="shared" si="16"/>
        <v>17</v>
      </c>
      <c r="M152" s="88">
        <f t="shared" si="17"/>
        <v>34</v>
      </c>
      <c r="N152" s="142">
        <v>5</v>
      </c>
      <c r="O152" s="138"/>
      <c r="P152" s="138">
        <v>17</v>
      </c>
      <c r="Q152" s="141">
        <v>22</v>
      </c>
      <c r="R152" s="140">
        <v>185</v>
      </c>
      <c r="S152" s="143">
        <v>293</v>
      </c>
      <c r="T152" s="147">
        <v>37</v>
      </c>
      <c r="U152" s="151">
        <v>10</v>
      </c>
      <c r="V152" s="148">
        <f t="shared" si="18"/>
        <v>177</v>
      </c>
      <c r="W152" s="152">
        <f t="shared" si="19"/>
        <v>302</v>
      </c>
      <c r="X152" s="140">
        <v>1</v>
      </c>
      <c r="Y152" s="138">
        <v>1</v>
      </c>
      <c r="Z152" s="138">
        <v>11</v>
      </c>
      <c r="AA152" s="143">
        <v>11</v>
      </c>
    </row>
    <row r="153" spans="2:27" ht="15" customHeight="1">
      <c r="B153" s="97" t="s">
        <v>232</v>
      </c>
      <c r="C153" s="20"/>
      <c r="D153" s="20"/>
      <c r="E153" s="33">
        <v>134</v>
      </c>
      <c r="F153" s="140">
        <v>133</v>
      </c>
      <c r="G153" s="141">
        <v>225</v>
      </c>
      <c r="H153" s="140">
        <v>42</v>
      </c>
      <c r="I153" s="138">
        <v>85</v>
      </c>
      <c r="J153" s="138">
        <v>4</v>
      </c>
      <c r="K153" s="138">
        <v>15</v>
      </c>
      <c r="L153" s="71">
        <f t="shared" si="16"/>
        <v>46</v>
      </c>
      <c r="M153" s="88">
        <f t="shared" si="17"/>
        <v>100</v>
      </c>
      <c r="N153" s="142">
        <v>5</v>
      </c>
      <c r="O153" s="138"/>
      <c r="P153" s="138">
        <v>29</v>
      </c>
      <c r="Q153" s="141">
        <v>34</v>
      </c>
      <c r="R153" s="140">
        <v>630</v>
      </c>
      <c r="S153" s="143">
        <v>952</v>
      </c>
      <c r="T153" s="147">
        <v>137</v>
      </c>
      <c r="U153" s="151">
        <v>34</v>
      </c>
      <c r="V153" s="148">
        <f t="shared" si="18"/>
        <v>539</v>
      </c>
      <c r="W153" s="152">
        <f t="shared" si="19"/>
        <v>915</v>
      </c>
      <c r="X153" s="140">
        <v>7</v>
      </c>
      <c r="Y153" s="138">
        <v>7</v>
      </c>
      <c r="Z153" s="138">
        <v>34</v>
      </c>
      <c r="AA153" s="143">
        <v>34</v>
      </c>
    </row>
    <row r="154" spans="2:27" ht="15" customHeight="1">
      <c r="B154" s="97" t="s">
        <v>233</v>
      </c>
      <c r="C154" s="20" t="s">
        <v>63</v>
      </c>
      <c r="D154" s="20"/>
      <c r="E154" s="33">
        <v>135</v>
      </c>
      <c r="F154" s="140">
        <v>1709</v>
      </c>
      <c r="G154" s="141">
        <v>2758</v>
      </c>
      <c r="H154" s="140">
        <v>406</v>
      </c>
      <c r="I154" s="138">
        <v>766</v>
      </c>
      <c r="J154" s="138">
        <v>11</v>
      </c>
      <c r="K154" s="138">
        <v>41</v>
      </c>
      <c r="L154" s="71">
        <f t="shared" si="16"/>
        <v>417</v>
      </c>
      <c r="M154" s="88">
        <f t="shared" si="17"/>
        <v>807</v>
      </c>
      <c r="N154" s="142">
        <v>365</v>
      </c>
      <c r="O154" s="138">
        <v>3</v>
      </c>
      <c r="P154" s="138">
        <v>301</v>
      </c>
      <c r="Q154" s="141">
        <v>670</v>
      </c>
      <c r="R154" s="140">
        <v>6799</v>
      </c>
      <c r="S154" s="143">
        <v>9792</v>
      </c>
      <c r="T154" s="147">
        <v>1379</v>
      </c>
      <c r="U154" s="151">
        <v>244</v>
      </c>
      <c r="V154" s="148">
        <f t="shared" si="18"/>
        <v>6263</v>
      </c>
      <c r="W154" s="152">
        <f t="shared" si="19"/>
        <v>9646</v>
      </c>
      <c r="X154" s="140">
        <v>135</v>
      </c>
      <c r="Y154" s="138">
        <v>135</v>
      </c>
      <c r="Z154" s="138">
        <v>454</v>
      </c>
      <c r="AA154" s="143">
        <v>455</v>
      </c>
    </row>
    <row r="155" spans="2:27" ht="15" customHeight="1">
      <c r="B155" s="97" t="s">
        <v>234</v>
      </c>
      <c r="C155" s="20">
        <v>1</v>
      </c>
      <c r="D155" s="20" t="s">
        <v>47</v>
      </c>
      <c r="E155" s="107">
        <v>136</v>
      </c>
      <c r="F155" s="140">
        <v>33</v>
      </c>
      <c r="G155" s="141">
        <v>60</v>
      </c>
      <c r="H155" s="140">
        <v>11</v>
      </c>
      <c r="I155" s="138">
        <v>16</v>
      </c>
      <c r="J155" s="138"/>
      <c r="K155" s="138">
        <v>2</v>
      </c>
      <c r="L155" s="71">
        <f t="shared" si="16"/>
        <v>11</v>
      </c>
      <c r="M155" s="88">
        <f t="shared" si="17"/>
        <v>18</v>
      </c>
      <c r="N155" s="142">
        <v>1</v>
      </c>
      <c r="O155" s="138"/>
      <c r="P155" s="138">
        <v>9</v>
      </c>
      <c r="Q155" s="141">
        <v>10</v>
      </c>
      <c r="R155" s="140">
        <v>137</v>
      </c>
      <c r="S155" s="143">
        <v>236</v>
      </c>
      <c r="T155" s="147">
        <v>20</v>
      </c>
      <c r="U155" s="151">
        <v>8</v>
      </c>
      <c r="V155" s="148">
        <f t="shared" si="18"/>
        <v>130</v>
      </c>
      <c r="W155" s="152">
        <f t="shared" si="19"/>
        <v>236</v>
      </c>
      <c r="X155" s="140">
        <v>1</v>
      </c>
      <c r="Y155" s="138">
        <v>1</v>
      </c>
      <c r="Z155" s="138">
        <v>7</v>
      </c>
      <c r="AA155" s="143">
        <v>7</v>
      </c>
    </row>
    <row r="156" spans="2:27" ht="15" customHeight="1">
      <c r="B156" s="97" t="s">
        <v>235</v>
      </c>
      <c r="C156" s="20"/>
      <c r="D156" s="20"/>
      <c r="E156" s="33">
        <v>137</v>
      </c>
      <c r="F156" s="140">
        <v>212</v>
      </c>
      <c r="G156" s="141">
        <v>379</v>
      </c>
      <c r="H156" s="140">
        <v>50</v>
      </c>
      <c r="I156" s="138">
        <v>110</v>
      </c>
      <c r="J156" s="138">
        <v>3</v>
      </c>
      <c r="K156" s="138">
        <v>12</v>
      </c>
      <c r="L156" s="71">
        <f t="shared" si="16"/>
        <v>53</v>
      </c>
      <c r="M156" s="88">
        <f t="shared" si="17"/>
        <v>122</v>
      </c>
      <c r="N156" s="142">
        <v>9</v>
      </c>
      <c r="O156" s="138"/>
      <c r="P156" s="138">
        <v>78</v>
      </c>
      <c r="Q156" s="141">
        <v>87</v>
      </c>
      <c r="R156" s="140">
        <v>1076</v>
      </c>
      <c r="S156" s="143">
        <v>1542</v>
      </c>
      <c r="T156" s="147">
        <v>254</v>
      </c>
      <c r="U156" s="151">
        <v>82</v>
      </c>
      <c r="V156" s="148">
        <f t="shared" si="18"/>
        <v>880</v>
      </c>
      <c r="W156" s="152">
        <f t="shared" si="19"/>
        <v>1415</v>
      </c>
      <c r="X156" s="140">
        <v>13</v>
      </c>
      <c r="Y156" s="138">
        <v>15</v>
      </c>
      <c r="Z156" s="138">
        <v>56</v>
      </c>
      <c r="AA156" s="143">
        <v>56</v>
      </c>
    </row>
    <row r="157" spans="2:27" ht="15" customHeight="1">
      <c r="B157" s="97" t="s">
        <v>0</v>
      </c>
      <c r="C157" s="20"/>
      <c r="D157" s="20"/>
      <c r="E157" s="33">
        <v>138</v>
      </c>
      <c r="F157" s="140">
        <v>540</v>
      </c>
      <c r="G157" s="141">
        <v>998</v>
      </c>
      <c r="H157" s="140">
        <v>171</v>
      </c>
      <c r="I157" s="138">
        <v>340</v>
      </c>
      <c r="J157" s="138">
        <v>7</v>
      </c>
      <c r="K157" s="138">
        <v>27</v>
      </c>
      <c r="L157" s="71">
        <f t="shared" si="16"/>
        <v>178</v>
      </c>
      <c r="M157" s="88">
        <f t="shared" si="17"/>
        <v>367</v>
      </c>
      <c r="N157" s="142">
        <v>37</v>
      </c>
      <c r="O157" s="138"/>
      <c r="P157" s="138">
        <v>102</v>
      </c>
      <c r="Q157" s="141">
        <v>140</v>
      </c>
      <c r="R157" s="140">
        <v>2317</v>
      </c>
      <c r="S157" s="143">
        <v>3631</v>
      </c>
      <c r="T157" s="147">
        <v>436</v>
      </c>
      <c r="U157" s="151">
        <v>120</v>
      </c>
      <c r="V157" s="148">
        <f t="shared" si="18"/>
        <v>2079</v>
      </c>
      <c r="W157" s="152">
        <f t="shared" si="19"/>
        <v>3582</v>
      </c>
      <c r="X157" s="140">
        <v>36</v>
      </c>
      <c r="Y157" s="138">
        <v>43</v>
      </c>
      <c r="Z157" s="138">
        <v>167</v>
      </c>
      <c r="AA157" s="143">
        <v>167</v>
      </c>
    </row>
    <row r="158" spans="2:27" ht="15" customHeight="1">
      <c r="B158" s="97" t="s">
        <v>1</v>
      </c>
      <c r="C158" s="20"/>
      <c r="D158" s="20"/>
      <c r="E158" s="107">
        <v>139</v>
      </c>
      <c r="F158" s="140">
        <v>47</v>
      </c>
      <c r="G158" s="141">
        <v>73</v>
      </c>
      <c r="H158" s="140">
        <v>10</v>
      </c>
      <c r="I158" s="138">
        <v>18</v>
      </c>
      <c r="J158" s="138"/>
      <c r="K158" s="138">
        <v>1</v>
      </c>
      <c r="L158" s="71">
        <f t="shared" si="16"/>
        <v>10</v>
      </c>
      <c r="M158" s="88">
        <f t="shared" si="17"/>
        <v>19</v>
      </c>
      <c r="N158" s="142">
        <v>4</v>
      </c>
      <c r="O158" s="138">
        <v>1</v>
      </c>
      <c r="P158" s="138">
        <v>17</v>
      </c>
      <c r="Q158" s="141">
        <v>22</v>
      </c>
      <c r="R158" s="140">
        <v>333</v>
      </c>
      <c r="S158" s="143">
        <v>440</v>
      </c>
      <c r="T158" s="147">
        <v>72</v>
      </c>
      <c r="U158" s="151">
        <v>37</v>
      </c>
      <c r="V158" s="148">
        <f t="shared" si="18"/>
        <v>256</v>
      </c>
      <c r="W158" s="152">
        <f t="shared" si="19"/>
        <v>372</v>
      </c>
      <c r="X158" s="140"/>
      <c r="Y158" s="138"/>
      <c r="Z158" s="138">
        <v>9</v>
      </c>
      <c r="AA158" s="143">
        <v>9</v>
      </c>
    </row>
    <row r="159" spans="2:27" ht="15" customHeight="1">
      <c r="B159" s="97" t="s">
        <v>2</v>
      </c>
      <c r="C159" s="20">
        <v>1</v>
      </c>
      <c r="D159" s="20" t="s">
        <v>52</v>
      </c>
      <c r="E159" s="33">
        <v>140</v>
      </c>
      <c r="F159" s="140">
        <v>54</v>
      </c>
      <c r="G159" s="141">
        <v>104</v>
      </c>
      <c r="H159" s="140">
        <v>12</v>
      </c>
      <c r="I159" s="138">
        <v>29</v>
      </c>
      <c r="J159" s="138">
        <v>1</v>
      </c>
      <c r="K159" s="138">
        <v>3</v>
      </c>
      <c r="L159" s="71">
        <f t="shared" si="16"/>
        <v>13</v>
      </c>
      <c r="M159" s="88">
        <f t="shared" si="17"/>
        <v>32</v>
      </c>
      <c r="N159" s="142">
        <v>1</v>
      </c>
      <c r="O159" s="138">
        <v>1</v>
      </c>
      <c r="P159" s="138">
        <v>13</v>
      </c>
      <c r="Q159" s="141">
        <v>15</v>
      </c>
      <c r="R159" s="140">
        <v>289</v>
      </c>
      <c r="S159" s="143">
        <v>470</v>
      </c>
      <c r="T159" s="147">
        <v>52</v>
      </c>
      <c r="U159" s="151">
        <v>38</v>
      </c>
      <c r="V159" s="148">
        <f t="shared" si="18"/>
        <v>227</v>
      </c>
      <c r="W159" s="152">
        <f t="shared" si="19"/>
        <v>427</v>
      </c>
      <c r="X159" s="140">
        <v>4</v>
      </c>
      <c r="Y159" s="138">
        <v>4</v>
      </c>
      <c r="Z159" s="138">
        <v>14</v>
      </c>
      <c r="AA159" s="143">
        <v>14</v>
      </c>
    </row>
    <row r="160" spans="2:27" ht="15" customHeight="1">
      <c r="B160" s="97" t="s">
        <v>3</v>
      </c>
      <c r="C160" s="20">
        <v>1</v>
      </c>
      <c r="D160" s="20" t="s">
        <v>47</v>
      </c>
      <c r="E160" s="33">
        <v>141</v>
      </c>
      <c r="F160" s="140">
        <v>101</v>
      </c>
      <c r="G160" s="141">
        <v>203</v>
      </c>
      <c r="H160" s="140">
        <v>23</v>
      </c>
      <c r="I160" s="138">
        <v>47</v>
      </c>
      <c r="J160" s="138">
        <v>2</v>
      </c>
      <c r="K160" s="138">
        <v>10</v>
      </c>
      <c r="L160" s="71">
        <f t="shared" si="16"/>
        <v>25</v>
      </c>
      <c r="M160" s="88">
        <f t="shared" si="17"/>
        <v>57</v>
      </c>
      <c r="N160" s="142">
        <v>6</v>
      </c>
      <c r="O160" s="138">
        <v>1</v>
      </c>
      <c r="P160" s="138">
        <v>20</v>
      </c>
      <c r="Q160" s="141">
        <v>27</v>
      </c>
      <c r="R160" s="140">
        <v>416</v>
      </c>
      <c r="S160" s="143">
        <v>676</v>
      </c>
      <c r="T160" s="147">
        <v>98</v>
      </c>
      <c r="U160" s="151">
        <v>37</v>
      </c>
      <c r="V160" s="148">
        <f t="shared" si="18"/>
        <v>333</v>
      </c>
      <c r="W160" s="152">
        <f t="shared" si="19"/>
        <v>625</v>
      </c>
      <c r="X160" s="140">
        <v>5</v>
      </c>
      <c r="Y160" s="138">
        <v>5</v>
      </c>
      <c r="Z160" s="138">
        <v>15</v>
      </c>
      <c r="AA160" s="143">
        <v>15</v>
      </c>
    </row>
    <row r="161" spans="2:27" ht="15" customHeight="1">
      <c r="B161" s="97" t="s">
        <v>4</v>
      </c>
      <c r="C161" s="20"/>
      <c r="D161" s="20"/>
      <c r="E161" s="107">
        <v>142</v>
      </c>
      <c r="F161" s="140">
        <v>28</v>
      </c>
      <c r="G161" s="141">
        <v>38</v>
      </c>
      <c r="H161" s="140">
        <v>7</v>
      </c>
      <c r="I161" s="138">
        <v>11</v>
      </c>
      <c r="J161" s="138"/>
      <c r="K161" s="138"/>
      <c r="L161" s="71">
        <f t="shared" si="16"/>
        <v>7</v>
      </c>
      <c r="M161" s="88">
        <f t="shared" si="17"/>
        <v>11</v>
      </c>
      <c r="N161" s="142">
        <v>4</v>
      </c>
      <c r="O161" s="138"/>
      <c r="P161" s="138">
        <v>14</v>
      </c>
      <c r="Q161" s="141">
        <v>18</v>
      </c>
      <c r="R161" s="140">
        <v>275</v>
      </c>
      <c r="S161" s="143">
        <v>367</v>
      </c>
      <c r="T161" s="147">
        <v>53</v>
      </c>
      <c r="U161" s="151">
        <v>24</v>
      </c>
      <c r="V161" s="148">
        <f t="shared" si="18"/>
        <v>223</v>
      </c>
      <c r="W161" s="152">
        <f t="shared" si="19"/>
        <v>319</v>
      </c>
      <c r="X161" s="140">
        <v>3</v>
      </c>
      <c r="Y161" s="138">
        <v>3</v>
      </c>
      <c r="Z161" s="138">
        <v>11</v>
      </c>
      <c r="AA161" s="143">
        <v>11</v>
      </c>
    </row>
    <row r="162" spans="2:27" ht="15" customHeight="1">
      <c r="B162" s="97" t="s">
        <v>5</v>
      </c>
      <c r="C162" s="20"/>
      <c r="D162" s="20"/>
      <c r="E162" s="33">
        <v>143</v>
      </c>
      <c r="F162" s="140">
        <v>775</v>
      </c>
      <c r="G162" s="141">
        <v>1366</v>
      </c>
      <c r="H162" s="140">
        <v>167</v>
      </c>
      <c r="I162" s="138">
        <v>367</v>
      </c>
      <c r="J162" s="138">
        <v>13</v>
      </c>
      <c r="K162" s="138">
        <v>50</v>
      </c>
      <c r="L162" s="71">
        <f t="shared" si="16"/>
        <v>180</v>
      </c>
      <c r="M162" s="88">
        <f t="shared" si="17"/>
        <v>417</v>
      </c>
      <c r="N162" s="142">
        <v>33</v>
      </c>
      <c r="O162" s="138">
        <v>3</v>
      </c>
      <c r="P162" s="138">
        <v>236</v>
      </c>
      <c r="Q162" s="141">
        <v>272</v>
      </c>
      <c r="R162" s="140">
        <v>3147</v>
      </c>
      <c r="S162" s="143">
        <v>4569</v>
      </c>
      <c r="T162" s="147">
        <v>777</v>
      </c>
      <c r="U162" s="151">
        <v>255</v>
      </c>
      <c r="V162" s="148">
        <f t="shared" si="18"/>
        <v>2567</v>
      </c>
      <c r="W162" s="152">
        <f t="shared" si="19"/>
        <v>4226</v>
      </c>
      <c r="X162" s="140">
        <v>34</v>
      </c>
      <c r="Y162" s="138">
        <v>34</v>
      </c>
      <c r="Z162" s="138">
        <v>243</v>
      </c>
      <c r="AA162" s="143">
        <v>243</v>
      </c>
    </row>
    <row r="163" spans="2:27" ht="15" customHeight="1">
      <c r="B163" s="97" t="s">
        <v>6</v>
      </c>
      <c r="C163" s="20"/>
      <c r="D163" s="20"/>
      <c r="E163" s="33">
        <v>144</v>
      </c>
      <c r="F163" s="140">
        <v>108</v>
      </c>
      <c r="G163" s="141">
        <v>169</v>
      </c>
      <c r="H163" s="140">
        <v>25</v>
      </c>
      <c r="I163" s="138">
        <v>55</v>
      </c>
      <c r="J163" s="138"/>
      <c r="K163" s="138">
        <v>2</v>
      </c>
      <c r="L163" s="71">
        <f t="shared" si="16"/>
        <v>25</v>
      </c>
      <c r="M163" s="88">
        <f t="shared" si="17"/>
        <v>57</v>
      </c>
      <c r="N163" s="142">
        <v>32</v>
      </c>
      <c r="O163" s="138"/>
      <c r="P163" s="138">
        <v>61</v>
      </c>
      <c r="Q163" s="141">
        <v>93</v>
      </c>
      <c r="R163" s="140">
        <v>1066</v>
      </c>
      <c r="S163" s="143">
        <v>1338</v>
      </c>
      <c r="T163" s="147">
        <v>256</v>
      </c>
      <c r="U163" s="151">
        <v>103</v>
      </c>
      <c r="V163" s="148">
        <f t="shared" si="18"/>
        <v>825</v>
      </c>
      <c r="W163" s="152">
        <f t="shared" si="19"/>
        <v>1129</v>
      </c>
      <c r="X163" s="140">
        <v>6</v>
      </c>
      <c r="Y163" s="138">
        <v>6</v>
      </c>
      <c r="Z163" s="138">
        <v>37</v>
      </c>
      <c r="AA163" s="143">
        <v>37</v>
      </c>
    </row>
    <row r="164" spans="2:27" ht="15" customHeight="1">
      <c r="B164" s="97" t="s">
        <v>7</v>
      </c>
      <c r="C164" s="20">
        <v>1</v>
      </c>
      <c r="D164" s="20" t="s">
        <v>47</v>
      </c>
      <c r="E164" s="107">
        <v>145</v>
      </c>
      <c r="F164" s="140">
        <v>2</v>
      </c>
      <c r="G164" s="141">
        <v>6</v>
      </c>
      <c r="H164" s="140"/>
      <c r="I164" s="138">
        <v>1</v>
      </c>
      <c r="J164" s="138"/>
      <c r="K164" s="138"/>
      <c r="L164" s="71">
        <f t="shared" si="16"/>
        <v>0</v>
      </c>
      <c r="M164" s="88">
        <f t="shared" si="17"/>
        <v>1</v>
      </c>
      <c r="N164" s="142">
        <v>1</v>
      </c>
      <c r="O164" s="138"/>
      <c r="P164" s="138"/>
      <c r="Q164" s="141">
        <v>1</v>
      </c>
      <c r="R164" s="140">
        <v>7</v>
      </c>
      <c r="S164" s="143">
        <v>17</v>
      </c>
      <c r="T164" s="147">
        <v>1</v>
      </c>
      <c r="U164" s="151"/>
      <c r="V164" s="148">
        <f t="shared" si="18"/>
        <v>7</v>
      </c>
      <c r="W164" s="152">
        <f t="shared" si="19"/>
        <v>18</v>
      </c>
      <c r="X164" s="140"/>
      <c r="Y164" s="138"/>
      <c r="Z164" s="138"/>
      <c r="AA164" s="143"/>
    </row>
    <row r="165" spans="2:27" ht="15" customHeight="1">
      <c r="B165" s="97" t="s">
        <v>8</v>
      </c>
      <c r="C165" s="20"/>
      <c r="D165" s="20"/>
      <c r="E165" s="33">
        <v>146</v>
      </c>
      <c r="F165" s="140">
        <v>519</v>
      </c>
      <c r="G165" s="141">
        <v>1018</v>
      </c>
      <c r="H165" s="140">
        <v>160</v>
      </c>
      <c r="I165" s="138">
        <v>360</v>
      </c>
      <c r="J165" s="138">
        <v>13</v>
      </c>
      <c r="K165" s="138">
        <v>55</v>
      </c>
      <c r="L165" s="71">
        <f t="shared" si="16"/>
        <v>173</v>
      </c>
      <c r="M165" s="88">
        <f t="shared" si="17"/>
        <v>415</v>
      </c>
      <c r="N165" s="142">
        <v>32</v>
      </c>
      <c r="O165" s="138">
        <v>5</v>
      </c>
      <c r="P165" s="138">
        <v>171</v>
      </c>
      <c r="Q165" s="141">
        <v>208</v>
      </c>
      <c r="R165" s="140">
        <v>1869</v>
      </c>
      <c r="S165" s="143">
        <v>2821</v>
      </c>
      <c r="T165" s="147">
        <v>431</v>
      </c>
      <c r="U165" s="151">
        <v>140</v>
      </c>
      <c r="V165" s="148">
        <f t="shared" si="18"/>
        <v>1679</v>
      </c>
      <c r="W165" s="152">
        <f t="shared" si="19"/>
        <v>2873</v>
      </c>
      <c r="X165" s="140">
        <v>28</v>
      </c>
      <c r="Y165" s="138">
        <v>28</v>
      </c>
      <c r="Z165" s="138">
        <v>107</v>
      </c>
      <c r="AA165" s="143">
        <v>107</v>
      </c>
    </row>
    <row r="166" spans="2:27" ht="15" customHeight="1">
      <c r="B166" s="97" t="s">
        <v>9</v>
      </c>
      <c r="C166" s="20">
        <v>1</v>
      </c>
      <c r="D166" s="20" t="s">
        <v>47</v>
      </c>
      <c r="E166" s="33">
        <v>147</v>
      </c>
      <c r="F166" s="140">
        <v>34</v>
      </c>
      <c r="G166" s="141">
        <v>51</v>
      </c>
      <c r="H166" s="140">
        <v>7</v>
      </c>
      <c r="I166" s="138">
        <v>13</v>
      </c>
      <c r="J166" s="138"/>
      <c r="K166" s="138"/>
      <c r="L166" s="71">
        <f t="shared" si="16"/>
        <v>7</v>
      </c>
      <c r="M166" s="88">
        <f t="shared" si="17"/>
        <v>13</v>
      </c>
      <c r="N166" s="142">
        <v>3</v>
      </c>
      <c r="O166" s="138"/>
      <c r="P166" s="138">
        <v>9</v>
      </c>
      <c r="Q166" s="141">
        <v>12</v>
      </c>
      <c r="R166" s="140">
        <v>128</v>
      </c>
      <c r="S166" s="143">
        <v>203</v>
      </c>
      <c r="T166" s="147">
        <v>30</v>
      </c>
      <c r="U166" s="151">
        <v>8</v>
      </c>
      <c r="V166" s="148">
        <f t="shared" si="18"/>
        <v>109</v>
      </c>
      <c r="W166" s="152">
        <f t="shared" si="19"/>
        <v>190</v>
      </c>
      <c r="X166" s="140">
        <v>1</v>
      </c>
      <c r="Y166" s="138">
        <v>1</v>
      </c>
      <c r="Z166" s="138">
        <v>8</v>
      </c>
      <c r="AA166" s="143">
        <v>8</v>
      </c>
    </row>
    <row r="167" spans="2:27" ht="15" customHeight="1">
      <c r="B167" s="97" t="s">
        <v>10</v>
      </c>
      <c r="C167" s="20"/>
      <c r="D167" s="20"/>
      <c r="E167" s="107">
        <v>148</v>
      </c>
      <c r="F167" s="140">
        <v>327</v>
      </c>
      <c r="G167" s="141">
        <v>573</v>
      </c>
      <c r="H167" s="140">
        <v>95</v>
      </c>
      <c r="I167" s="138">
        <v>199</v>
      </c>
      <c r="J167" s="138">
        <v>7</v>
      </c>
      <c r="K167" s="138">
        <v>28</v>
      </c>
      <c r="L167" s="71">
        <f t="shared" si="16"/>
        <v>102</v>
      </c>
      <c r="M167" s="88">
        <f t="shared" si="17"/>
        <v>227</v>
      </c>
      <c r="N167" s="142">
        <v>83</v>
      </c>
      <c r="O167" s="138">
        <v>1</v>
      </c>
      <c r="P167" s="138">
        <v>107</v>
      </c>
      <c r="Q167" s="141">
        <v>191</v>
      </c>
      <c r="R167" s="140">
        <v>2103</v>
      </c>
      <c r="S167" s="143">
        <v>2779</v>
      </c>
      <c r="T167" s="147">
        <v>467</v>
      </c>
      <c r="U167" s="151">
        <v>249</v>
      </c>
      <c r="V167" s="148">
        <f t="shared" si="18"/>
        <v>1680</v>
      </c>
      <c r="W167" s="152">
        <f t="shared" si="19"/>
        <v>2481</v>
      </c>
      <c r="X167" s="140">
        <v>23</v>
      </c>
      <c r="Y167" s="138">
        <v>24</v>
      </c>
      <c r="Z167" s="138">
        <v>108</v>
      </c>
      <c r="AA167" s="143">
        <v>109</v>
      </c>
    </row>
    <row r="168" spans="2:27" ht="15" customHeight="1">
      <c r="B168" s="97" t="s">
        <v>11</v>
      </c>
      <c r="C168" s="20">
        <v>1</v>
      </c>
      <c r="D168" s="20" t="s">
        <v>52</v>
      </c>
      <c r="E168" s="33">
        <v>149</v>
      </c>
      <c r="F168" s="140">
        <v>2</v>
      </c>
      <c r="G168" s="141">
        <v>3</v>
      </c>
      <c r="H168" s="140">
        <v>1</v>
      </c>
      <c r="I168" s="138">
        <v>2</v>
      </c>
      <c r="J168" s="138"/>
      <c r="K168" s="138"/>
      <c r="L168" s="71">
        <f t="shared" si="16"/>
        <v>1</v>
      </c>
      <c r="M168" s="88">
        <f t="shared" si="17"/>
        <v>2</v>
      </c>
      <c r="N168" s="142"/>
      <c r="O168" s="138"/>
      <c r="P168" s="138"/>
      <c r="Q168" s="141"/>
      <c r="R168" s="140">
        <v>16</v>
      </c>
      <c r="S168" s="143">
        <v>42</v>
      </c>
      <c r="T168" s="147">
        <v>3</v>
      </c>
      <c r="U168" s="151">
        <v>1</v>
      </c>
      <c r="V168" s="148">
        <f t="shared" si="18"/>
        <v>13</v>
      </c>
      <c r="W168" s="152">
        <f t="shared" si="19"/>
        <v>40</v>
      </c>
      <c r="X168" s="140"/>
      <c r="Y168" s="138"/>
      <c r="Z168" s="138">
        <v>2</v>
      </c>
      <c r="AA168" s="143">
        <v>2</v>
      </c>
    </row>
    <row r="169" spans="2:27" ht="15" customHeight="1">
      <c r="B169" s="97" t="s">
        <v>12</v>
      </c>
      <c r="C169" s="20">
        <v>1</v>
      </c>
      <c r="D169" s="20" t="s">
        <v>52</v>
      </c>
      <c r="E169" s="33">
        <v>150</v>
      </c>
      <c r="F169" s="140">
        <v>12</v>
      </c>
      <c r="G169" s="141">
        <v>21</v>
      </c>
      <c r="H169" s="140">
        <v>4</v>
      </c>
      <c r="I169" s="138">
        <v>10</v>
      </c>
      <c r="J169" s="138"/>
      <c r="K169" s="138"/>
      <c r="L169" s="71">
        <f t="shared" si="16"/>
        <v>4</v>
      </c>
      <c r="M169" s="88">
        <f t="shared" si="17"/>
        <v>10</v>
      </c>
      <c r="N169" s="142">
        <v>7</v>
      </c>
      <c r="O169" s="138"/>
      <c r="P169" s="138">
        <v>6</v>
      </c>
      <c r="Q169" s="141">
        <v>14</v>
      </c>
      <c r="R169" s="140">
        <v>111</v>
      </c>
      <c r="S169" s="143">
        <v>166</v>
      </c>
      <c r="T169" s="147">
        <v>15</v>
      </c>
      <c r="U169" s="151">
        <v>6</v>
      </c>
      <c r="V169" s="148">
        <f t="shared" si="18"/>
        <v>108</v>
      </c>
      <c r="W169" s="152">
        <f t="shared" si="19"/>
        <v>169</v>
      </c>
      <c r="X169" s="140"/>
      <c r="Y169" s="138"/>
      <c r="Z169" s="138">
        <v>4</v>
      </c>
      <c r="AA169" s="143">
        <v>4</v>
      </c>
    </row>
    <row r="170" spans="2:27" ht="15" customHeight="1">
      <c r="B170" s="97" t="s">
        <v>13</v>
      </c>
      <c r="C170" s="20" t="s">
        <v>63</v>
      </c>
      <c r="D170" s="20"/>
      <c r="E170" s="107">
        <v>151</v>
      </c>
      <c r="F170" s="140">
        <v>6587</v>
      </c>
      <c r="G170" s="141">
        <v>14053</v>
      </c>
      <c r="H170" s="140">
        <v>1868</v>
      </c>
      <c r="I170" s="138">
        <v>4320</v>
      </c>
      <c r="J170" s="138">
        <v>140</v>
      </c>
      <c r="K170" s="138">
        <v>534</v>
      </c>
      <c r="L170" s="71">
        <f t="shared" si="16"/>
        <v>2008</v>
      </c>
      <c r="M170" s="88">
        <f t="shared" si="17"/>
        <v>4854</v>
      </c>
      <c r="N170" s="142">
        <v>374</v>
      </c>
      <c r="O170" s="138">
        <v>3</v>
      </c>
      <c r="P170" s="138">
        <v>1136</v>
      </c>
      <c r="Q170" s="141">
        <v>1514</v>
      </c>
      <c r="R170" s="140">
        <v>13809</v>
      </c>
      <c r="S170" s="143">
        <v>22782</v>
      </c>
      <c r="T170" s="147">
        <v>2786</v>
      </c>
      <c r="U170" s="151">
        <v>584</v>
      </c>
      <c r="V170" s="148">
        <f t="shared" si="18"/>
        <v>13961</v>
      </c>
      <c r="W170" s="152">
        <f t="shared" si="19"/>
        <v>25780</v>
      </c>
      <c r="X170" s="140">
        <v>248</v>
      </c>
      <c r="Y170" s="138">
        <v>253</v>
      </c>
      <c r="Z170" s="138">
        <v>1475</v>
      </c>
      <c r="AA170" s="143">
        <v>1476</v>
      </c>
    </row>
    <row r="171" spans="2:27" ht="15" customHeight="1">
      <c r="B171" s="97" t="s">
        <v>14</v>
      </c>
      <c r="C171" s="20"/>
      <c r="D171" s="20"/>
      <c r="E171" s="33">
        <v>152</v>
      </c>
      <c r="F171" s="140">
        <v>117</v>
      </c>
      <c r="G171" s="141">
        <v>181</v>
      </c>
      <c r="H171" s="140">
        <v>27</v>
      </c>
      <c r="I171" s="138">
        <v>49</v>
      </c>
      <c r="J171" s="138">
        <v>1</v>
      </c>
      <c r="K171" s="138">
        <v>5</v>
      </c>
      <c r="L171" s="71">
        <f t="shared" si="16"/>
        <v>28</v>
      </c>
      <c r="M171" s="88">
        <f t="shared" si="17"/>
        <v>54</v>
      </c>
      <c r="N171" s="142">
        <v>14</v>
      </c>
      <c r="O171" s="138">
        <v>1</v>
      </c>
      <c r="P171" s="138">
        <v>45</v>
      </c>
      <c r="Q171" s="141">
        <v>61</v>
      </c>
      <c r="R171" s="140">
        <v>1058</v>
      </c>
      <c r="S171" s="143">
        <v>1335</v>
      </c>
      <c r="T171" s="147">
        <v>268</v>
      </c>
      <c r="U171" s="151">
        <v>53</v>
      </c>
      <c r="V171" s="148">
        <f t="shared" si="18"/>
        <v>826</v>
      </c>
      <c r="W171" s="152">
        <f t="shared" si="19"/>
        <v>1129</v>
      </c>
      <c r="X171" s="140">
        <v>10</v>
      </c>
      <c r="Y171" s="138">
        <v>10</v>
      </c>
      <c r="Z171" s="138">
        <v>33</v>
      </c>
      <c r="AA171" s="143">
        <v>33</v>
      </c>
    </row>
    <row r="172" spans="2:27" ht="15" customHeight="1">
      <c r="B172" s="97" t="s">
        <v>15</v>
      </c>
      <c r="C172" s="20"/>
      <c r="D172" s="20"/>
      <c r="E172" s="33">
        <v>153</v>
      </c>
      <c r="F172" s="140">
        <v>140</v>
      </c>
      <c r="G172" s="141">
        <v>220</v>
      </c>
      <c r="H172" s="140">
        <v>31</v>
      </c>
      <c r="I172" s="138">
        <v>61</v>
      </c>
      <c r="J172" s="138">
        <v>1</v>
      </c>
      <c r="K172" s="138">
        <v>6</v>
      </c>
      <c r="L172" s="71">
        <f t="shared" si="16"/>
        <v>32</v>
      </c>
      <c r="M172" s="88">
        <f t="shared" si="17"/>
        <v>67</v>
      </c>
      <c r="N172" s="142">
        <v>25</v>
      </c>
      <c r="O172" s="138">
        <v>1</v>
      </c>
      <c r="P172" s="138">
        <v>91</v>
      </c>
      <c r="Q172" s="141">
        <v>118</v>
      </c>
      <c r="R172" s="140">
        <v>890</v>
      </c>
      <c r="S172" s="143">
        <v>1253</v>
      </c>
      <c r="T172" s="147">
        <v>221</v>
      </c>
      <c r="U172" s="151">
        <v>87</v>
      </c>
      <c r="V172" s="148">
        <f t="shared" si="18"/>
        <v>732</v>
      </c>
      <c r="W172" s="152">
        <f t="shared" si="19"/>
        <v>1130</v>
      </c>
      <c r="X172" s="140">
        <v>10</v>
      </c>
      <c r="Y172" s="138">
        <v>10</v>
      </c>
      <c r="Z172" s="138">
        <v>39</v>
      </c>
      <c r="AA172" s="143">
        <v>39</v>
      </c>
    </row>
    <row r="173" spans="2:27" ht="15" customHeight="1">
      <c r="B173" s="97" t="s">
        <v>16</v>
      </c>
      <c r="C173" s="20" t="s">
        <v>63</v>
      </c>
      <c r="D173" s="20"/>
      <c r="E173" s="33">
        <v>155</v>
      </c>
      <c r="F173" s="140">
        <v>875</v>
      </c>
      <c r="G173" s="141">
        <v>1471</v>
      </c>
      <c r="H173" s="140">
        <v>148</v>
      </c>
      <c r="I173" s="138">
        <v>301</v>
      </c>
      <c r="J173" s="138">
        <v>9</v>
      </c>
      <c r="K173" s="138">
        <v>42</v>
      </c>
      <c r="L173" s="71">
        <f t="shared" si="16"/>
        <v>157</v>
      </c>
      <c r="M173" s="88">
        <f t="shared" si="17"/>
        <v>343</v>
      </c>
      <c r="N173" s="142">
        <v>408</v>
      </c>
      <c r="O173" s="138">
        <v>3</v>
      </c>
      <c r="P173" s="138">
        <v>273</v>
      </c>
      <c r="Q173" s="141">
        <v>684</v>
      </c>
      <c r="R173" s="140">
        <v>3390</v>
      </c>
      <c r="S173" s="143">
        <v>4425</v>
      </c>
      <c r="T173" s="147">
        <v>958</v>
      </c>
      <c r="U173" s="151">
        <v>197</v>
      </c>
      <c r="V173" s="148">
        <f t="shared" si="18"/>
        <v>3076</v>
      </c>
      <c r="W173" s="152">
        <f t="shared" si="19"/>
        <v>4297</v>
      </c>
      <c r="X173" s="140">
        <v>50</v>
      </c>
      <c r="Y173" s="138">
        <v>50</v>
      </c>
      <c r="Z173" s="138">
        <v>197</v>
      </c>
      <c r="AA173" s="143">
        <v>198</v>
      </c>
    </row>
    <row r="174" spans="2:27" ht="15" customHeight="1">
      <c r="B174" s="97" t="s">
        <v>17</v>
      </c>
      <c r="C174" s="20" t="s">
        <v>63</v>
      </c>
      <c r="D174" s="20"/>
      <c r="E174" s="33">
        <v>156</v>
      </c>
      <c r="F174" s="140">
        <v>1734</v>
      </c>
      <c r="G174" s="141">
        <v>3289</v>
      </c>
      <c r="H174" s="140">
        <v>524</v>
      </c>
      <c r="I174" s="138">
        <v>1119</v>
      </c>
      <c r="J174" s="138">
        <v>21</v>
      </c>
      <c r="K174" s="138">
        <v>89</v>
      </c>
      <c r="L174" s="71">
        <f t="shared" si="16"/>
        <v>545</v>
      </c>
      <c r="M174" s="88">
        <f t="shared" si="17"/>
        <v>1208</v>
      </c>
      <c r="N174" s="142">
        <v>80</v>
      </c>
      <c r="O174" s="138">
        <v>1</v>
      </c>
      <c r="P174" s="138">
        <v>261</v>
      </c>
      <c r="Q174" s="141">
        <v>342</v>
      </c>
      <c r="R174" s="140">
        <v>4402</v>
      </c>
      <c r="S174" s="143">
        <v>6906</v>
      </c>
      <c r="T174" s="147">
        <v>754</v>
      </c>
      <c r="U174" s="151">
        <v>241</v>
      </c>
      <c r="V174" s="148">
        <f t="shared" si="18"/>
        <v>4294</v>
      </c>
      <c r="W174" s="152">
        <f t="shared" si="19"/>
        <v>7461</v>
      </c>
      <c r="X174" s="140">
        <v>81</v>
      </c>
      <c r="Y174" s="138">
        <v>81</v>
      </c>
      <c r="Z174" s="138">
        <v>470</v>
      </c>
      <c r="AA174" s="143">
        <v>470</v>
      </c>
    </row>
    <row r="175" spans="2:27" ht="15" customHeight="1">
      <c r="B175" s="97" t="s">
        <v>18</v>
      </c>
      <c r="C175" s="20">
        <v>1</v>
      </c>
      <c r="D175" s="20" t="s">
        <v>75</v>
      </c>
      <c r="E175" s="107">
        <v>154</v>
      </c>
      <c r="F175" s="140">
        <v>70</v>
      </c>
      <c r="G175" s="141">
        <v>102</v>
      </c>
      <c r="H175" s="140">
        <v>10</v>
      </c>
      <c r="I175" s="138">
        <v>19</v>
      </c>
      <c r="J175" s="138"/>
      <c r="K175" s="138">
        <v>1</v>
      </c>
      <c r="L175" s="71">
        <f t="shared" si="16"/>
        <v>10</v>
      </c>
      <c r="M175" s="88">
        <f t="shared" si="17"/>
        <v>20</v>
      </c>
      <c r="N175" s="142">
        <v>17</v>
      </c>
      <c r="O175" s="138"/>
      <c r="P175" s="138">
        <v>29</v>
      </c>
      <c r="Q175" s="141">
        <v>46</v>
      </c>
      <c r="R175" s="140">
        <v>273</v>
      </c>
      <c r="S175" s="143">
        <v>395</v>
      </c>
      <c r="T175" s="147">
        <v>66</v>
      </c>
      <c r="U175" s="151">
        <v>26</v>
      </c>
      <c r="V175" s="148">
        <f t="shared" si="18"/>
        <v>237</v>
      </c>
      <c r="W175" s="152">
        <f t="shared" si="19"/>
        <v>369</v>
      </c>
      <c r="X175" s="140">
        <v>3</v>
      </c>
      <c r="Y175" s="138">
        <v>3</v>
      </c>
      <c r="Z175" s="138">
        <v>22</v>
      </c>
      <c r="AA175" s="143">
        <v>22</v>
      </c>
    </row>
    <row r="176" spans="2:27" ht="15" customHeight="1">
      <c r="B176" s="97" t="s">
        <v>19</v>
      </c>
      <c r="C176" s="20"/>
      <c r="D176" s="20"/>
      <c r="E176" s="107">
        <v>157</v>
      </c>
      <c r="F176" s="140">
        <v>5</v>
      </c>
      <c r="G176" s="141">
        <v>9</v>
      </c>
      <c r="H176" s="140">
        <v>3</v>
      </c>
      <c r="I176" s="138">
        <v>6</v>
      </c>
      <c r="J176" s="138"/>
      <c r="K176" s="138"/>
      <c r="L176" s="71">
        <f t="shared" si="16"/>
        <v>3</v>
      </c>
      <c r="M176" s="88">
        <f t="shared" si="17"/>
        <v>6</v>
      </c>
      <c r="N176" s="142">
        <v>2</v>
      </c>
      <c r="O176" s="138"/>
      <c r="P176" s="138">
        <v>4</v>
      </c>
      <c r="Q176" s="141">
        <v>6</v>
      </c>
      <c r="R176" s="140">
        <v>44</v>
      </c>
      <c r="S176" s="143">
        <v>64</v>
      </c>
      <c r="T176" s="147">
        <v>9</v>
      </c>
      <c r="U176" s="151">
        <v>3</v>
      </c>
      <c r="V176" s="148">
        <f t="shared" si="18"/>
        <v>41</v>
      </c>
      <c r="W176" s="152">
        <f t="shared" si="19"/>
        <v>64</v>
      </c>
      <c r="X176" s="140"/>
      <c r="Y176" s="138"/>
      <c r="Z176" s="138">
        <v>3</v>
      </c>
      <c r="AA176" s="143">
        <v>3</v>
      </c>
    </row>
    <row r="177" spans="2:27" ht="15" customHeight="1">
      <c r="B177" s="97" t="s">
        <v>20</v>
      </c>
      <c r="C177" s="20"/>
      <c r="D177" s="20"/>
      <c r="E177" s="33">
        <v>158</v>
      </c>
      <c r="F177" s="140">
        <v>63</v>
      </c>
      <c r="G177" s="141">
        <v>94</v>
      </c>
      <c r="H177" s="140">
        <v>13</v>
      </c>
      <c r="I177" s="138">
        <v>28</v>
      </c>
      <c r="J177" s="138"/>
      <c r="K177" s="138"/>
      <c r="L177" s="71">
        <f t="shared" si="16"/>
        <v>13</v>
      </c>
      <c r="M177" s="88">
        <f t="shared" si="17"/>
        <v>28</v>
      </c>
      <c r="N177" s="142">
        <v>9</v>
      </c>
      <c r="O177" s="138"/>
      <c r="P177" s="138">
        <v>41</v>
      </c>
      <c r="Q177" s="141">
        <v>51</v>
      </c>
      <c r="R177" s="140">
        <v>398</v>
      </c>
      <c r="S177" s="143">
        <v>503</v>
      </c>
      <c r="T177" s="147">
        <v>116</v>
      </c>
      <c r="U177" s="151">
        <v>33</v>
      </c>
      <c r="V177" s="148">
        <f t="shared" si="18"/>
        <v>313</v>
      </c>
      <c r="W177" s="152">
        <f t="shared" si="19"/>
        <v>433</v>
      </c>
      <c r="X177" s="140">
        <v>4</v>
      </c>
      <c r="Y177" s="138">
        <v>4</v>
      </c>
      <c r="Z177" s="138">
        <v>26</v>
      </c>
      <c r="AA177" s="143">
        <v>26</v>
      </c>
    </row>
    <row r="178" spans="2:27" ht="15" customHeight="1">
      <c r="B178" s="97" t="s">
        <v>21</v>
      </c>
      <c r="C178" s="20"/>
      <c r="D178" s="20"/>
      <c r="E178" s="33">
        <v>159</v>
      </c>
      <c r="F178" s="140">
        <v>253</v>
      </c>
      <c r="G178" s="141">
        <v>359</v>
      </c>
      <c r="H178" s="140">
        <v>38</v>
      </c>
      <c r="I178" s="138">
        <v>79</v>
      </c>
      <c r="J178" s="138">
        <v>1</v>
      </c>
      <c r="K178" s="138">
        <v>4</v>
      </c>
      <c r="L178" s="71">
        <f t="shared" si="16"/>
        <v>39</v>
      </c>
      <c r="M178" s="88">
        <f t="shared" si="17"/>
        <v>83</v>
      </c>
      <c r="N178" s="142">
        <v>34</v>
      </c>
      <c r="O178" s="138">
        <v>1</v>
      </c>
      <c r="P178" s="138">
        <v>56</v>
      </c>
      <c r="Q178" s="141">
        <v>92</v>
      </c>
      <c r="R178" s="140">
        <v>1208</v>
      </c>
      <c r="S178" s="143">
        <v>1549</v>
      </c>
      <c r="T178" s="147">
        <v>317</v>
      </c>
      <c r="U178" s="151">
        <v>134</v>
      </c>
      <c r="V178" s="148">
        <f t="shared" si="18"/>
        <v>888</v>
      </c>
      <c r="W178" s="152">
        <f t="shared" si="19"/>
        <v>1273</v>
      </c>
      <c r="X178" s="140">
        <v>16</v>
      </c>
      <c r="Y178" s="138">
        <v>16</v>
      </c>
      <c r="Z178" s="138">
        <v>62</v>
      </c>
      <c r="AA178" s="143">
        <v>62</v>
      </c>
    </row>
    <row r="179" spans="2:27" ht="15" customHeight="1">
      <c r="B179" s="97" t="s">
        <v>22</v>
      </c>
      <c r="C179" s="20">
        <v>1</v>
      </c>
      <c r="D179" s="20" t="s">
        <v>47</v>
      </c>
      <c r="E179" s="107">
        <v>160</v>
      </c>
      <c r="F179" s="140">
        <v>26</v>
      </c>
      <c r="G179" s="141">
        <v>42</v>
      </c>
      <c r="H179" s="140">
        <v>10</v>
      </c>
      <c r="I179" s="138">
        <v>19</v>
      </c>
      <c r="J179" s="138"/>
      <c r="K179" s="138"/>
      <c r="L179" s="71">
        <f t="shared" si="16"/>
        <v>10</v>
      </c>
      <c r="M179" s="88">
        <f t="shared" si="17"/>
        <v>19</v>
      </c>
      <c r="N179" s="142">
        <v>11</v>
      </c>
      <c r="O179" s="138"/>
      <c r="P179" s="138">
        <v>25</v>
      </c>
      <c r="Q179" s="141">
        <v>37</v>
      </c>
      <c r="R179" s="140">
        <v>126</v>
      </c>
      <c r="S179" s="143">
        <v>214</v>
      </c>
      <c r="T179" s="147">
        <v>22</v>
      </c>
      <c r="U179" s="151">
        <v>15</v>
      </c>
      <c r="V179" s="148">
        <f t="shared" si="18"/>
        <v>136</v>
      </c>
      <c r="W179" s="152">
        <f t="shared" si="19"/>
        <v>233</v>
      </c>
      <c r="X179" s="140"/>
      <c r="Y179" s="138"/>
      <c r="Z179" s="138">
        <v>9</v>
      </c>
      <c r="AA179" s="143">
        <v>9</v>
      </c>
    </row>
    <row r="180" spans="2:27" ht="15" customHeight="1">
      <c r="B180" s="97" t="s">
        <v>23</v>
      </c>
      <c r="C180" s="20"/>
      <c r="D180" s="20"/>
      <c r="E180" s="33">
        <v>161</v>
      </c>
      <c r="F180" s="140">
        <v>12</v>
      </c>
      <c r="G180" s="141">
        <v>22</v>
      </c>
      <c r="H180" s="140">
        <v>2</v>
      </c>
      <c r="I180" s="138">
        <v>3</v>
      </c>
      <c r="J180" s="138"/>
      <c r="K180" s="138">
        <v>3</v>
      </c>
      <c r="L180" s="71">
        <f aca="true" t="shared" si="20" ref="L180:L189">SUM(H180,J180)</f>
        <v>2</v>
      </c>
      <c r="M180" s="88">
        <f aca="true" t="shared" si="21" ref="M180:M189">SUM(I180,K180)</f>
        <v>6</v>
      </c>
      <c r="N180" s="142">
        <v>2</v>
      </c>
      <c r="O180" s="138"/>
      <c r="P180" s="138">
        <v>10</v>
      </c>
      <c r="Q180" s="141">
        <v>13</v>
      </c>
      <c r="R180" s="140">
        <v>458</v>
      </c>
      <c r="S180" s="143">
        <v>487</v>
      </c>
      <c r="T180" s="147">
        <v>176</v>
      </c>
      <c r="U180" s="151">
        <v>20</v>
      </c>
      <c r="V180" s="148">
        <f aca="true" t="shared" si="22" ref="V180:V189">SUM(L180+Q180+R180-T180-U180)</f>
        <v>277</v>
      </c>
      <c r="W180" s="152">
        <f aca="true" t="shared" si="23" ref="W180:W189">SUM(M180+Q180+S180-T180-U180)</f>
        <v>310</v>
      </c>
      <c r="X180" s="140">
        <v>2</v>
      </c>
      <c r="Y180" s="138">
        <v>2</v>
      </c>
      <c r="Z180" s="138">
        <v>14</v>
      </c>
      <c r="AA180" s="143">
        <v>14</v>
      </c>
    </row>
    <row r="181" spans="2:27" ht="15" customHeight="1">
      <c r="B181" s="97" t="s">
        <v>24</v>
      </c>
      <c r="C181" s="20">
        <v>1</v>
      </c>
      <c r="D181" s="20" t="s">
        <v>52</v>
      </c>
      <c r="E181" s="33">
        <v>162</v>
      </c>
      <c r="F181" s="140">
        <v>241</v>
      </c>
      <c r="G181" s="141">
        <v>479</v>
      </c>
      <c r="H181" s="140">
        <v>63</v>
      </c>
      <c r="I181" s="138">
        <v>146</v>
      </c>
      <c r="J181" s="138">
        <v>5</v>
      </c>
      <c r="K181" s="138">
        <v>20</v>
      </c>
      <c r="L181" s="71">
        <f t="shared" si="20"/>
        <v>68</v>
      </c>
      <c r="M181" s="88">
        <f t="shared" si="21"/>
        <v>166</v>
      </c>
      <c r="N181" s="142">
        <v>9</v>
      </c>
      <c r="O181" s="138"/>
      <c r="P181" s="138">
        <v>79</v>
      </c>
      <c r="Q181" s="141">
        <v>88</v>
      </c>
      <c r="R181" s="140">
        <v>913</v>
      </c>
      <c r="S181" s="143">
        <v>1447</v>
      </c>
      <c r="T181" s="147">
        <v>200</v>
      </c>
      <c r="U181" s="151">
        <v>86</v>
      </c>
      <c r="V181" s="148">
        <f t="shared" si="22"/>
        <v>783</v>
      </c>
      <c r="W181" s="152">
        <f t="shared" si="23"/>
        <v>1415</v>
      </c>
      <c r="X181" s="140">
        <v>14</v>
      </c>
      <c r="Y181" s="138">
        <v>14</v>
      </c>
      <c r="Z181" s="138">
        <v>67</v>
      </c>
      <c r="AA181" s="143">
        <v>68</v>
      </c>
    </row>
    <row r="182" spans="2:27" ht="15" customHeight="1">
      <c r="B182" s="97" t="s">
        <v>25</v>
      </c>
      <c r="C182" s="20"/>
      <c r="D182" s="20"/>
      <c r="E182" s="107">
        <v>163</v>
      </c>
      <c r="F182" s="140">
        <v>1277</v>
      </c>
      <c r="G182" s="141">
        <v>2602</v>
      </c>
      <c r="H182" s="140">
        <v>320</v>
      </c>
      <c r="I182" s="138">
        <v>711</v>
      </c>
      <c r="J182" s="138">
        <v>38</v>
      </c>
      <c r="K182" s="138">
        <v>134</v>
      </c>
      <c r="L182" s="71">
        <f t="shared" si="20"/>
        <v>358</v>
      </c>
      <c r="M182" s="88">
        <f t="shared" si="21"/>
        <v>845</v>
      </c>
      <c r="N182" s="142">
        <v>33</v>
      </c>
      <c r="O182" s="138"/>
      <c r="P182" s="138">
        <v>144</v>
      </c>
      <c r="Q182" s="141">
        <v>178</v>
      </c>
      <c r="R182" s="140">
        <v>3205</v>
      </c>
      <c r="S182" s="143">
        <v>5107</v>
      </c>
      <c r="T182" s="147">
        <v>616</v>
      </c>
      <c r="U182" s="151">
        <v>143</v>
      </c>
      <c r="V182" s="148">
        <f t="shared" si="22"/>
        <v>2982</v>
      </c>
      <c r="W182" s="152">
        <f t="shared" si="23"/>
        <v>5371</v>
      </c>
      <c r="X182" s="140">
        <v>48</v>
      </c>
      <c r="Y182" s="138">
        <v>49</v>
      </c>
      <c r="Z182" s="138">
        <v>360</v>
      </c>
      <c r="AA182" s="143">
        <v>361</v>
      </c>
    </row>
    <row r="183" spans="2:27" ht="15" customHeight="1">
      <c r="B183" s="97" t="s">
        <v>26</v>
      </c>
      <c r="C183" s="20"/>
      <c r="D183" s="20"/>
      <c r="E183" s="33">
        <v>164</v>
      </c>
      <c r="F183" s="140">
        <v>355</v>
      </c>
      <c r="G183" s="141">
        <v>608</v>
      </c>
      <c r="H183" s="140">
        <v>124</v>
      </c>
      <c r="I183" s="138">
        <v>232</v>
      </c>
      <c r="J183" s="138">
        <v>4</v>
      </c>
      <c r="K183" s="138">
        <v>18</v>
      </c>
      <c r="L183" s="71">
        <f t="shared" si="20"/>
        <v>128</v>
      </c>
      <c r="M183" s="88">
        <f t="shared" si="21"/>
        <v>250</v>
      </c>
      <c r="N183" s="142">
        <v>56</v>
      </c>
      <c r="O183" s="138">
        <v>1</v>
      </c>
      <c r="P183" s="138">
        <v>99</v>
      </c>
      <c r="Q183" s="141">
        <v>157</v>
      </c>
      <c r="R183" s="140">
        <v>1844</v>
      </c>
      <c r="S183" s="143">
        <v>2488</v>
      </c>
      <c r="T183" s="147">
        <v>410</v>
      </c>
      <c r="U183" s="151">
        <v>96</v>
      </c>
      <c r="V183" s="148">
        <f t="shared" si="22"/>
        <v>1623</v>
      </c>
      <c r="W183" s="152">
        <f t="shared" si="23"/>
        <v>2389</v>
      </c>
      <c r="X183" s="140">
        <v>24</v>
      </c>
      <c r="Y183" s="138">
        <v>25</v>
      </c>
      <c r="Z183" s="138">
        <v>113</v>
      </c>
      <c r="AA183" s="143">
        <v>113</v>
      </c>
    </row>
    <row r="184" spans="2:27" ht="15" customHeight="1">
      <c r="B184" s="97" t="s">
        <v>27</v>
      </c>
      <c r="C184" s="20"/>
      <c r="D184" s="20"/>
      <c r="E184" s="33">
        <v>165</v>
      </c>
      <c r="F184" s="140">
        <v>133</v>
      </c>
      <c r="G184" s="141">
        <v>242</v>
      </c>
      <c r="H184" s="140">
        <v>31</v>
      </c>
      <c r="I184" s="138">
        <v>68</v>
      </c>
      <c r="J184" s="138">
        <v>1</v>
      </c>
      <c r="K184" s="138">
        <v>7</v>
      </c>
      <c r="L184" s="71">
        <f t="shared" si="20"/>
        <v>32</v>
      </c>
      <c r="M184" s="88">
        <f t="shared" si="21"/>
        <v>75</v>
      </c>
      <c r="N184" s="142">
        <v>7</v>
      </c>
      <c r="O184" s="138"/>
      <c r="P184" s="138">
        <v>24</v>
      </c>
      <c r="Q184" s="141">
        <v>32</v>
      </c>
      <c r="R184" s="140">
        <v>508</v>
      </c>
      <c r="S184" s="143">
        <v>820</v>
      </c>
      <c r="T184" s="147">
        <v>92</v>
      </c>
      <c r="U184" s="151">
        <v>26</v>
      </c>
      <c r="V184" s="148">
        <f t="shared" si="22"/>
        <v>454</v>
      </c>
      <c r="W184" s="152">
        <f t="shared" si="23"/>
        <v>809</v>
      </c>
      <c r="X184" s="140">
        <v>12</v>
      </c>
      <c r="Y184" s="138">
        <v>12</v>
      </c>
      <c r="Z184" s="138">
        <v>33</v>
      </c>
      <c r="AA184" s="143">
        <v>33</v>
      </c>
    </row>
    <row r="185" spans="2:27" ht="15" customHeight="1">
      <c r="B185" s="97" t="s">
        <v>28</v>
      </c>
      <c r="C185" s="20"/>
      <c r="D185" s="20"/>
      <c r="E185" s="107">
        <v>166</v>
      </c>
      <c r="F185" s="140">
        <v>70</v>
      </c>
      <c r="G185" s="141">
        <v>123</v>
      </c>
      <c r="H185" s="140">
        <v>28</v>
      </c>
      <c r="I185" s="138">
        <v>51</v>
      </c>
      <c r="J185" s="138"/>
      <c r="K185" s="138"/>
      <c r="L185" s="71">
        <f t="shared" si="20"/>
        <v>28</v>
      </c>
      <c r="M185" s="88">
        <f t="shared" si="21"/>
        <v>51</v>
      </c>
      <c r="N185" s="142">
        <v>8</v>
      </c>
      <c r="O185" s="138"/>
      <c r="P185" s="138">
        <v>70</v>
      </c>
      <c r="Q185" s="141">
        <v>78</v>
      </c>
      <c r="R185" s="140">
        <v>642</v>
      </c>
      <c r="S185" s="143">
        <v>892</v>
      </c>
      <c r="T185" s="147">
        <v>161</v>
      </c>
      <c r="U185" s="151">
        <v>62</v>
      </c>
      <c r="V185" s="148">
        <f t="shared" si="22"/>
        <v>525</v>
      </c>
      <c r="W185" s="152">
        <f t="shared" si="23"/>
        <v>798</v>
      </c>
      <c r="X185" s="140">
        <v>5</v>
      </c>
      <c r="Y185" s="138">
        <v>5</v>
      </c>
      <c r="Z185" s="138">
        <v>26</v>
      </c>
      <c r="AA185" s="143">
        <v>26</v>
      </c>
    </row>
    <row r="186" spans="2:27" ht="15" customHeight="1">
      <c r="B186" s="97" t="s">
        <v>29</v>
      </c>
      <c r="C186" s="20"/>
      <c r="D186" s="20"/>
      <c r="E186" s="33">
        <v>167</v>
      </c>
      <c r="F186" s="140">
        <v>26</v>
      </c>
      <c r="G186" s="141">
        <v>40</v>
      </c>
      <c r="H186" s="140">
        <v>7</v>
      </c>
      <c r="I186" s="138">
        <v>12</v>
      </c>
      <c r="J186" s="138"/>
      <c r="K186" s="138">
        <v>1</v>
      </c>
      <c r="L186" s="71">
        <f t="shared" si="20"/>
        <v>7</v>
      </c>
      <c r="M186" s="88">
        <f t="shared" si="21"/>
        <v>13</v>
      </c>
      <c r="N186" s="142">
        <v>7</v>
      </c>
      <c r="O186" s="138"/>
      <c r="P186" s="138">
        <v>6</v>
      </c>
      <c r="Q186" s="141">
        <v>14</v>
      </c>
      <c r="R186" s="140">
        <v>198</v>
      </c>
      <c r="S186" s="143">
        <v>253</v>
      </c>
      <c r="T186" s="147">
        <v>44</v>
      </c>
      <c r="U186" s="151">
        <v>16</v>
      </c>
      <c r="V186" s="148">
        <f t="shared" si="22"/>
        <v>159</v>
      </c>
      <c r="W186" s="152">
        <f t="shared" si="23"/>
        <v>220</v>
      </c>
      <c r="X186" s="140">
        <v>1</v>
      </c>
      <c r="Y186" s="138">
        <v>1</v>
      </c>
      <c r="Z186" s="138">
        <v>6</v>
      </c>
      <c r="AA186" s="143">
        <v>6</v>
      </c>
    </row>
    <row r="187" spans="2:27" ht="15" customHeight="1">
      <c r="B187" s="97" t="s">
        <v>30</v>
      </c>
      <c r="C187" s="20">
        <v>1</v>
      </c>
      <c r="D187" s="20" t="s">
        <v>52</v>
      </c>
      <c r="E187" s="33">
        <v>168</v>
      </c>
      <c r="F187" s="140">
        <v>18</v>
      </c>
      <c r="G187" s="141">
        <v>28</v>
      </c>
      <c r="H187" s="140">
        <v>1</v>
      </c>
      <c r="I187" s="138">
        <v>3</v>
      </c>
      <c r="J187" s="138"/>
      <c r="K187" s="138">
        <v>1</v>
      </c>
      <c r="L187" s="71">
        <f t="shared" si="20"/>
        <v>1</v>
      </c>
      <c r="M187" s="88">
        <f t="shared" si="21"/>
        <v>4</v>
      </c>
      <c r="N187" s="142">
        <v>7</v>
      </c>
      <c r="O187" s="138"/>
      <c r="P187" s="138">
        <v>20</v>
      </c>
      <c r="Q187" s="141">
        <v>27</v>
      </c>
      <c r="R187" s="140">
        <v>201</v>
      </c>
      <c r="S187" s="143">
        <v>313</v>
      </c>
      <c r="T187" s="147">
        <v>46</v>
      </c>
      <c r="U187" s="151">
        <v>16</v>
      </c>
      <c r="V187" s="148">
        <f t="shared" si="22"/>
        <v>167</v>
      </c>
      <c r="W187" s="152">
        <f t="shared" si="23"/>
        <v>282</v>
      </c>
      <c r="X187" s="140">
        <v>1</v>
      </c>
      <c r="Y187" s="138">
        <v>1</v>
      </c>
      <c r="Z187" s="138">
        <v>6</v>
      </c>
      <c r="AA187" s="143">
        <v>6</v>
      </c>
    </row>
    <row r="188" spans="2:27" ht="15" customHeight="1">
      <c r="B188" s="97" t="s">
        <v>31</v>
      </c>
      <c r="C188" s="20">
        <v>1</v>
      </c>
      <c r="D188" s="20" t="s">
        <v>47</v>
      </c>
      <c r="E188" s="107">
        <v>169</v>
      </c>
      <c r="F188" s="140">
        <v>30</v>
      </c>
      <c r="G188" s="141">
        <v>51</v>
      </c>
      <c r="H188" s="140">
        <v>9</v>
      </c>
      <c r="I188" s="138">
        <v>13</v>
      </c>
      <c r="J188" s="138"/>
      <c r="K188" s="138">
        <v>1</v>
      </c>
      <c r="L188" s="71">
        <f t="shared" si="20"/>
        <v>9</v>
      </c>
      <c r="M188" s="88">
        <f t="shared" si="21"/>
        <v>14</v>
      </c>
      <c r="N188" s="142"/>
      <c r="O188" s="138"/>
      <c r="P188" s="138">
        <v>4</v>
      </c>
      <c r="Q188" s="141">
        <v>4</v>
      </c>
      <c r="R188" s="140">
        <v>187</v>
      </c>
      <c r="S188" s="143">
        <v>353</v>
      </c>
      <c r="T188" s="147">
        <v>29</v>
      </c>
      <c r="U188" s="151">
        <v>15</v>
      </c>
      <c r="V188" s="148">
        <f t="shared" si="22"/>
        <v>156</v>
      </c>
      <c r="W188" s="152">
        <f t="shared" si="23"/>
        <v>327</v>
      </c>
      <c r="X188" s="140">
        <v>1</v>
      </c>
      <c r="Y188" s="138">
        <v>1</v>
      </c>
      <c r="Z188" s="138">
        <v>2</v>
      </c>
      <c r="AA188" s="143">
        <v>2</v>
      </c>
    </row>
    <row r="189" spans="2:27" ht="15" customHeight="1">
      <c r="B189" s="98" t="s">
        <v>32</v>
      </c>
      <c r="C189" s="22"/>
      <c r="D189" s="22"/>
      <c r="E189" s="33"/>
      <c r="F189" s="140"/>
      <c r="G189" s="141"/>
      <c r="H189" s="140"/>
      <c r="I189" s="138"/>
      <c r="J189" s="138"/>
      <c r="K189" s="138"/>
      <c r="L189" s="71">
        <f t="shared" si="20"/>
        <v>0</v>
      </c>
      <c r="M189" s="88">
        <f t="shared" si="21"/>
        <v>0</v>
      </c>
      <c r="N189" s="142"/>
      <c r="O189" s="138"/>
      <c r="P189" s="138">
        <v>1</v>
      </c>
      <c r="Q189" s="141">
        <v>1</v>
      </c>
      <c r="R189" s="140">
        <v>425</v>
      </c>
      <c r="S189" s="143">
        <v>425</v>
      </c>
      <c r="T189" s="147">
        <v>5</v>
      </c>
      <c r="U189" s="151">
        <v>1</v>
      </c>
      <c r="V189" s="148">
        <f t="shared" si="22"/>
        <v>420</v>
      </c>
      <c r="W189" s="152">
        <f t="shared" si="23"/>
        <v>420</v>
      </c>
      <c r="X189" s="140"/>
      <c r="Y189" s="138"/>
      <c r="Z189" s="138"/>
      <c r="AA189" s="143"/>
    </row>
    <row r="190" spans="2:27" ht="15" customHeight="1" thickBot="1">
      <c r="B190" s="99" t="s">
        <v>33</v>
      </c>
      <c r="C190" s="36"/>
      <c r="D190" s="36"/>
      <c r="E190" s="108"/>
      <c r="F190" s="160">
        <v>80967</v>
      </c>
      <c r="G190" s="161">
        <v>157028</v>
      </c>
      <c r="H190" s="160">
        <v>22626</v>
      </c>
      <c r="I190" s="162">
        <v>50984</v>
      </c>
      <c r="J190" s="162">
        <v>1313</v>
      </c>
      <c r="K190" s="162">
        <v>5022</v>
      </c>
      <c r="L190" s="162">
        <v>23939</v>
      </c>
      <c r="M190" s="163">
        <v>56006</v>
      </c>
      <c r="N190" s="164">
        <v>6102</v>
      </c>
      <c r="O190" s="162">
        <v>128</v>
      </c>
      <c r="P190" s="162">
        <v>14923</v>
      </c>
      <c r="Q190" s="161">
        <v>21154</v>
      </c>
      <c r="R190" s="160">
        <v>221149</v>
      </c>
      <c r="S190" s="163">
        <v>335369</v>
      </c>
      <c r="T190" s="165">
        <v>45157</v>
      </c>
      <c r="U190" s="166">
        <v>11874</v>
      </c>
      <c r="V190" s="164">
        <v>209211</v>
      </c>
      <c r="W190" s="161">
        <v>355498</v>
      </c>
      <c r="X190" s="160">
        <v>4232</v>
      </c>
      <c r="Y190" s="162">
        <v>4326</v>
      </c>
      <c r="Z190" s="162">
        <v>22355</v>
      </c>
      <c r="AA190" s="163">
        <v>22364</v>
      </c>
    </row>
    <row r="191" ht="15" customHeight="1">
      <c r="B191" s="1" t="s">
        <v>236</v>
      </c>
    </row>
  </sheetData>
  <mergeCells count="10">
    <mergeCell ref="B7:N7"/>
    <mergeCell ref="B18:E18"/>
    <mergeCell ref="B14:E14"/>
    <mergeCell ref="B15:E15"/>
    <mergeCell ref="B16:E16"/>
    <mergeCell ref="B17:E17"/>
    <mergeCell ref="B8:E9"/>
    <mergeCell ref="B11:E11"/>
    <mergeCell ref="B12:E12"/>
    <mergeCell ref="B13:E1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AA190"/>
  <sheetViews>
    <sheetView zoomScale="50" zoomScaleNormal="50" workbookViewId="0" topLeftCell="A1">
      <selection activeCell="B27" sqref="B27"/>
    </sheetView>
  </sheetViews>
  <sheetFormatPr defaultColWidth="9.00390625" defaultRowHeight="15" customHeight="1"/>
  <cols>
    <col min="1" max="16384" width="12.75390625" style="0" customWidth="1"/>
  </cols>
  <sheetData>
    <row r="2" ht="15" customHeight="1">
      <c r="H2" s="1"/>
    </row>
    <row r="3" ht="15" customHeight="1">
      <c r="H3" s="1"/>
    </row>
    <row r="4" spans="6:27" ht="15" customHeight="1">
      <c r="F4" s="1"/>
      <c r="G4" s="1"/>
      <c r="H4" s="1"/>
      <c r="J4" s="1"/>
      <c r="K4" s="1"/>
      <c r="L4" s="1"/>
      <c r="M4" s="1"/>
      <c r="N4" s="1"/>
      <c r="O4" s="1"/>
      <c r="P4" s="1"/>
      <c r="Q4" s="1"/>
      <c r="R4" s="1"/>
      <c r="S4" s="55"/>
      <c r="T4" s="55"/>
      <c r="U4" s="55"/>
      <c r="V4" s="55"/>
      <c r="W4" s="55"/>
      <c r="X4" s="55"/>
      <c r="Y4" s="55"/>
      <c r="Z4" s="55"/>
      <c r="AA4" s="55"/>
    </row>
    <row r="5" spans="6:27" ht="15" customHeight="1" thickBot="1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"/>
      <c r="S5" s="55"/>
      <c r="T5" s="55"/>
      <c r="U5" s="55"/>
      <c r="V5" s="55"/>
      <c r="W5" s="55"/>
      <c r="X5" s="55"/>
      <c r="Y5" s="55"/>
      <c r="Z5" s="55"/>
      <c r="AA5" s="55"/>
    </row>
    <row r="6" spans="2:27" ht="45" customHeight="1" thickBot="1">
      <c r="B6" s="208" t="s">
        <v>102</v>
      </c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10"/>
      <c r="O6" s="1"/>
      <c r="P6" s="1"/>
      <c r="Q6" s="1"/>
      <c r="R6" s="1"/>
      <c r="S6" s="1"/>
      <c r="T6" s="1"/>
      <c r="U6" s="1"/>
      <c r="V6" s="55"/>
      <c r="W6" s="55"/>
      <c r="X6" s="1"/>
      <c r="Y6" s="1"/>
      <c r="Z6" s="1"/>
      <c r="AA6" s="1"/>
    </row>
    <row r="7" spans="2:27" ht="15" customHeight="1">
      <c r="B7" s="193" t="s">
        <v>199</v>
      </c>
      <c r="C7" s="194"/>
      <c r="D7" s="194"/>
      <c r="E7" s="195"/>
      <c r="F7" s="9" t="s">
        <v>180</v>
      </c>
      <c r="G7" s="10"/>
      <c r="H7" s="9" t="s">
        <v>186</v>
      </c>
      <c r="I7" s="10"/>
      <c r="J7" s="10"/>
      <c r="K7" s="10"/>
      <c r="L7" s="10"/>
      <c r="M7" s="11"/>
      <c r="N7" s="10" t="s">
        <v>181</v>
      </c>
      <c r="O7" s="10"/>
      <c r="P7" s="10"/>
      <c r="Q7" s="10"/>
      <c r="R7" s="9" t="s">
        <v>182</v>
      </c>
      <c r="S7" s="11"/>
      <c r="T7" s="139" t="s">
        <v>192</v>
      </c>
      <c r="U7" s="149" t="s">
        <v>194</v>
      </c>
      <c r="V7" s="10" t="s">
        <v>184</v>
      </c>
      <c r="W7" s="10"/>
      <c r="X7" s="9" t="s">
        <v>193</v>
      </c>
      <c r="Y7" s="10"/>
      <c r="Z7" s="10"/>
      <c r="AA7" s="11"/>
    </row>
    <row r="8" spans="2:27" ht="15" customHeight="1">
      <c r="B8" s="196"/>
      <c r="C8" s="197"/>
      <c r="D8" s="197"/>
      <c r="E8" s="198"/>
      <c r="F8" s="110"/>
      <c r="G8" s="105"/>
      <c r="H8" s="68" t="s">
        <v>178</v>
      </c>
      <c r="I8" s="69"/>
      <c r="J8" s="69" t="s">
        <v>179</v>
      </c>
      <c r="K8" s="69"/>
      <c r="L8" s="69" t="s">
        <v>177</v>
      </c>
      <c r="M8" s="70"/>
      <c r="N8" s="105"/>
      <c r="O8" s="105"/>
      <c r="P8" s="105"/>
      <c r="Q8" s="105"/>
      <c r="R8" s="110"/>
      <c r="S8" s="144"/>
      <c r="T8" s="110"/>
      <c r="U8" s="112"/>
      <c r="V8" s="8" t="s">
        <v>183</v>
      </c>
      <c r="W8" s="8"/>
      <c r="X8" s="68" t="s">
        <v>187</v>
      </c>
      <c r="Y8" s="69"/>
      <c r="Z8" s="69" t="s">
        <v>188</v>
      </c>
      <c r="AA8" s="70"/>
    </row>
    <row r="9" spans="2:27" ht="15" customHeight="1" thickBot="1">
      <c r="B9" s="5"/>
      <c r="C9" s="6"/>
      <c r="D9" s="6"/>
      <c r="E9" s="7"/>
      <c r="F9" s="58" t="s">
        <v>172</v>
      </c>
      <c r="G9" s="113" t="s">
        <v>173</v>
      </c>
      <c r="H9" s="58" t="s">
        <v>172</v>
      </c>
      <c r="I9" s="60" t="s">
        <v>173</v>
      </c>
      <c r="J9" s="60" t="s">
        <v>172</v>
      </c>
      <c r="K9" s="60" t="s">
        <v>173</v>
      </c>
      <c r="L9" s="60" t="s">
        <v>172</v>
      </c>
      <c r="M9" s="59" t="s">
        <v>173</v>
      </c>
      <c r="N9" s="61" t="s">
        <v>174</v>
      </c>
      <c r="O9" s="60" t="s">
        <v>175</v>
      </c>
      <c r="P9" s="60" t="s">
        <v>176</v>
      </c>
      <c r="Q9" s="113" t="s">
        <v>177</v>
      </c>
      <c r="R9" s="58" t="s">
        <v>172</v>
      </c>
      <c r="S9" s="59" t="s">
        <v>173</v>
      </c>
      <c r="T9" s="157"/>
      <c r="U9" s="158"/>
      <c r="V9" s="61" t="s">
        <v>172</v>
      </c>
      <c r="W9" s="113" t="s">
        <v>173</v>
      </c>
      <c r="X9" s="58" t="s">
        <v>172</v>
      </c>
      <c r="Y9" s="60" t="s">
        <v>173</v>
      </c>
      <c r="Z9" s="60" t="s">
        <v>172</v>
      </c>
      <c r="AA9" s="59" t="s">
        <v>173</v>
      </c>
    </row>
    <row r="10" spans="2:27" ht="15" customHeight="1">
      <c r="B10" s="221" t="s">
        <v>42</v>
      </c>
      <c r="C10" s="222"/>
      <c r="D10" s="222"/>
      <c r="E10" s="222"/>
      <c r="F10" s="115">
        <v>2455</v>
      </c>
      <c r="G10" s="114">
        <v>4607</v>
      </c>
      <c r="H10" s="115">
        <v>563</v>
      </c>
      <c r="I10" s="109">
        <v>1131</v>
      </c>
      <c r="J10" s="109">
        <v>25</v>
      </c>
      <c r="K10" s="109">
        <v>133</v>
      </c>
      <c r="L10" s="109">
        <v>588</v>
      </c>
      <c r="M10" s="153">
        <v>1264</v>
      </c>
      <c r="N10" s="154">
        <v>285</v>
      </c>
      <c r="O10" s="109">
        <v>10</v>
      </c>
      <c r="P10" s="109">
        <v>848</v>
      </c>
      <c r="Q10" s="114">
        <v>1164</v>
      </c>
      <c r="R10" s="115">
        <v>12700</v>
      </c>
      <c r="S10" s="153">
        <v>20664</v>
      </c>
      <c r="T10" s="155">
        <v>2539</v>
      </c>
      <c r="U10" s="156">
        <v>1061</v>
      </c>
      <c r="V10" s="154">
        <v>10852</v>
      </c>
      <c r="W10" s="114">
        <v>19492</v>
      </c>
      <c r="X10" s="115">
        <v>120.769</v>
      </c>
      <c r="Y10" s="109">
        <v>124.769</v>
      </c>
      <c r="Z10" s="109">
        <v>891.228</v>
      </c>
      <c r="AA10" s="153">
        <v>891.228</v>
      </c>
    </row>
    <row r="11" spans="2:27" ht="15" customHeight="1">
      <c r="B11" s="219" t="s">
        <v>200</v>
      </c>
      <c r="C11" s="220"/>
      <c r="D11" s="220"/>
      <c r="E11" s="220"/>
      <c r="F11" s="77">
        <v>83879</v>
      </c>
      <c r="G11" s="80">
        <v>162008</v>
      </c>
      <c r="H11" s="77">
        <v>20606</v>
      </c>
      <c r="I11" s="75">
        <v>45019</v>
      </c>
      <c r="J11" s="75">
        <v>1233</v>
      </c>
      <c r="K11" s="75">
        <v>4463</v>
      </c>
      <c r="L11" s="75">
        <v>21839</v>
      </c>
      <c r="M11" s="86">
        <v>49482</v>
      </c>
      <c r="N11" s="83">
        <v>5423</v>
      </c>
      <c r="O11" s="75">
        <v>104</v>
      </c>
      <c r="P11" s="75">
        <v>12441</v>
      </c>
      <c r="Q11" s="80">
        <v>17948</v>
      </c>
      <c r="R11" s="77">
        <v>225592</v>
      </c>
      <c r="S11" s="86">
        <v>349478</v>
      </c>
      <c r="T11" s="145">
        <v>43793</v>
      </c>
      <c r="U11" s="122">
        <v>13186</v>
      </c>
      <c r="V11" s="83">
        <v>208400</v>
      </c>
      <c r="W11" s="80">
        <v>359929</v>
      </c>
      <c r="X11" s="77">
        <v>4532.231</v>
      </c>
      <c r="Y11" s="75">
        <v>4632.231</v>
      </c>
      <c r="Z11" s="75">
        <v>24736.772</v>
      </c>
      <c r="AA11" s="86">
        <v>24751.772</v>
      </c>
    </row>
    <row r="12" spans="2:27" ht="15" customHeight="1">
      <c r="B12" s="219" t="s">
        <v>201</v>
      </c>
      <c r="C12" s="220"/>
      <c r="D12" s="220"/>
      <c r="E12" s="220"/>
      <c r="F12" s="77">
        <v>63158</v>
      </c>
      <c r="G12" s="80">
        <v>124197</v>
      </c>
      <c r="H12" s="77">
        <v>15661</v>
      </c>
      <c r="I12" s="75">
        <v>34780</v>
      </c>
      <c r="J12" s="75">
        <v>906</v>
      </c>
      <c r="K12" s="75">
        <v>3367</v>
      </c>
      <c r="L12" s="75">
        <v>16567</v>
      </c>
      <c r="M12" s="86">
        <v>38147</v>
      </c>
      <c r="N12" s="83">
        <v>3748</v>
      </c>
      <c r="O12" s="75">
        <v>39</v>
      </c>
      <c r="P12" s="75">
        <v>7782</v>
      </c>
      <c r="Q12" s="80">
        <v>11582</v>
      </c>
      <c r="R12" s="77">
        <v>136494</v>
      </c>
      <c r="S12" s="86">
        <v>216807</v>
      </c>
      <c r="T12" s="145">
        <v>25010</v>
      </c>
      <c r="U12" s="122">
        <v>6099</v>
      </c>
      <c r="V12" s="83">
        <v>133534</v>
      </c>
      <c r="W12" s="80">
        <v>235427</v>
      </c>
      <c r="X12" s="77">
        <v>3190</v>
      </c>
      <c r="Y12" s="75">
        <v>3258</v>
      </c>
      <c r="Z12" s="75">
        <v>18607</v>
      </c>
      <c r="AA12" s="86">
        <v>18618</v>
      </c>
    </row>
    <row r="13" spans="2:27" ht="15" customHeight="1">
      <c r="B13" s="219" t="s">
        <v>202</v>
      </c>
      <c r="C13" s="220"/>
      <c r="D13" s="220"/>
      <c r="E13" s="220"/>
      <c r="F13" s="77">
        <v>20721</v>
      </c>
      <c r="G13" s="80">
        <v>37811</v>
      </c>
      <c r="H13" s="77">
        <v>4945</v>
      </c>
      <c r="I13" s="75">
        <v>10239</v>
      </c>
      <c r="J13" s="75">
        <v>327</v>
      </c>
      <c r="K13" s="75">
        <v>1096</v>
      </c>
      <c r="L13" s="75">
        <v>5272</v>
      </c>
      <c r="M13" s="86">
        <v>11335</v>
      </c>
      <c r="N13" s="83">
        <v>1675</v>
      </c>
      <c r="O13" s="75">
        <v>65</v>
      </c>
      <c r="P13" s="75">
        <v>4659</v>
      </c>
      <c r="Q13" s="80">
        <v>6366</v>
      </c>
      <c r="R13" s="77">
        <v>89098</v>
      </c>
      <c r="S13" s="86">
        <v>132671</v>
      </c>
      <c r="T13" s="145">
        <v>18783</v>
      </c>
      <c r="U13" s="122">
        <v>7087</v>
      </c>
      <c r="V13" s="83">
        <v>74866</v>
      </c>
      <c r="W13" s="80">
        <v>124502</v>
      </c>
      <c r="X13" s="77">
        <v>1342.231</v>
      </c>
      <c r="Y13" s="75">
        <v>1374.231</v>
      </c>
      <c r="Z13" s="75">
        <v>6129.772</v>
      </c>
      <c r="AA13" s="86">
        <v>6133.772</v>
      </c>
    </row>
    <row r="14" spans="2:27" ht="15" customHeight="1">
      <c r="B14" s="219" t="s">
        <v>43</v>
      </c>
      <c r="C14" s="220"/>
      <c r="D14" s="220"/>
      <c r="E14" s="220"/>
      <c r="F14" s="77">
        <v>1405</v>
      </c>
      <c r="G14" s="80">
        <v>2667</v>
      </c>
      <c r="H14" s="77">
        <v>323</v>
      </c>
      <c r="I14" s="75">
        <v>621</v>
      </c>
      <c r="J14" s="75">
        <v>11</v>
      </c>
      <c r="K14" s="75">
        <v>71</v>
      </c>
      <c r="L14" s="75">
        <v>334</v>
      </c>
      <c r="M14" s="86">
        <v>692</v>
      </c>
      <c r="N14" s="83">
        <v>130</v>
      </c>
      <c r="O14" s="75">
        <v>8</v>
      </c>
      <c r="P14" s="75">
        <v>383</v>
      </c>
      <c r="Q14" s="80">
        <v>529</v>
      </c>
      <c r="R14" s="77">
        <v>6383</v>
      </c>
      <c r="S14" s="86">
        <v>10470</v>
      </c>
      <c r="T14" s="145">
        <v>1339</v>
      </c>
      <c r="U14" s="122">
        <v>457</v>
      </c>
      <c r="V14" s="83">
        <v>5450</v>
      </c>
      <c r="W14" s="80">
        <v>9895</v>
      </c>
      <c r="X14" s="77">
        <v>59</v>
      </c>
      <c r="Y14" s="75">
        <v>61</v>
      </c>
      <c r="Z14" s="75">
        <v>448</v>
      </c>
      <c r="AA14" s="86">
        <v>448</v>
      </c>
    </row>
    <row r="15" spans="2:27" ht="15" customHeight="1">
      <c r="B15" s="219" t="s">
        <v>44</v>
      </c>
      <c r="C15" s="220"/>
      <c r="D15" s="220"/>
      <c r="E15" s="220"/>
      <c r="F15" s="77">
        <v>844</v>
      </c>
      <c r="G15" s="80">
        <v>1568</v>
      </c>
      <c r="H15" s="77">
        <v>202</v>
      </c>
      <c r="I15" s="75">
        <v>422</v>
      </c>
      <c r="J15" s="75">
        <v>13</v>
      </c>
      <c r="K15" s="75">
        <v>52</v>
      </c>
      <c r="L15" s="75">
        <v>215</v>
      </c>
      <c r="M15" s="86">
        <v>474</v>
      </c>
      <c r="N15" s="83">
        <v>97</v>
      </c>
      <c r="O15" s="75">
        <v>2</v>
      </c>
      <c r="P15" s="75">
        <v>279</v>
      </c>
      <c r="Q15" s="80">
        <v>385</v>
      </c>
      <c r="R15" s="77">
        <v>4861</v>
      </c>
      <c r="S15" s="86">
        <v>8056</v>
      </c>
      <c r="T15" s="145">
        <v>879</v>
      </c>
      <c r="U15" s="122">
        <v>435</v>
      </c>
      <c r="V15" s="83">
        <v>4147</v>
      </c>
      <c r="W15" s="80">
        <v>7601</v>
      </c>
      <c r="X15" s="77">
        <v>50.769</v>
      </c>
      <c r="Y15" s="75">
        <v>52.769</v>
      </c>
      <c r="Z15" s="75">
        <v>367.228</v>
      </c>
      <c r="AA15" s="86">
        <v>367.228</v>
      </c>
    </row>
    <row r="16" spans="2:27" ht="15" customHeight="1">
      <c r="B16" s="219" t="s">
        <v>45</v>
      </c>
      <c r="C16" s="220"/>
      <c r="D16" s="220"/>
      <c r="E16" s="220"/>
      <c r="F16" s="77">
        <v>206</v>
      </c>
      <c r="G16" s="80">
        <v>372</v>
      </c>
      <c r="H16" s="77">
        <v>38</v>
      </c>
      <c r="I16" s="75">
        <v>88</v>
      </c>
      <c r="J16" s="75">
        <v>1</v>
      </c>
      <c r="K16" s="75">
        <v>10</v>
      </c>
      <c r="L16" s="75">
        <v>39</v>
      </c>
      <c r="M16" s="86">
        <v>98</v>
      </c>
      <c r="N16" s="83">
        <v>58</v>
      </c>
      <c r="O16" s="75">
        <v>0</v>
      </c>
      <c r="P16" s="75">
        <v>186</v>
      </c>
      <c r="Q16" s="80">
        <v>250</v>
      </c>
      <c r="R16" s="77">
        <v>1456</v>
      </c>
      <c r="S16" s="86">
        <v>2138</v>
      </c>
      <c r="T16" s="145">
        <v>321</v>
      </c>
      <c r="U16" s="122">
        <v>169</v>
      </c>
      <c r="V16" s="83">
        <v>1255</v>
      </c>
      <c r="W16" s="80">
        <v>1996</v>
      </c>
      <c r="X16" s="77">
        <v>11</v>
      </c>
      <c r="Y16" s="75">
        <v>11</v>
      </c>
      <c r="Z16" s="75">
        <v>76</v>
      </c>
      <c r="AA16" s="86">
        <v>76</v>
      </c>
    </row>
    <row r="17" spans="2:27" ht="15" customHeight="1" thickBot="1">
      <c r="B17" s="217" t="s">
        <v>46</v>
      </c>
      <c r="C17" s="218"/>
      <c r="D17" s="218"/>
      <c r="E17" s="218"/>
      <c r="F17" s="77">
        <v>86334</v>
      </c>
      <c r="G17" s="80">
        <v>166615</v>
      </c>
      <c r="H17" s="77">
        <v>21169</v>
      </c>
      <c r="I17" s="75">
        <v>46150</v>
      </c>
      <c r="J17" s="75">
        <v>1258</v>
      </c>
      <c r="K17" s="75">
        <v>4596</v>
      </c>
      <c r="L17" s="75">
        <v>22427</v>
      </c>
      <c r="M17" s="86">
        <v>50746</v>
      </c>
      <c r="N17" s="83">
        <v>5708</v>
      </c>
      <c r="O17" s="75">
        <v>114</v>
      </c>
      <c r="P17" s="75">
        <v>13289</v>
      </c>
      <c r="Q17" s="80">
        <v>19112</v>
      </c>
      <c r="R17" s="77">
        <v>238292</v>
      </c>
      <c r="S17" s="86">
        <v>370142</v>
      </c>
      <c r="T17" s="145">
        <v>46332</v>
      </c>
      <c r="U17" s="122">
        <v>14247</v>
      </c>
      <c r="V17" s="83">
        <v>219252</v>
      </c>
      <c r="W17" s="80">
        <v>379421</v>
      </c>
      <c r="X17" s="77">
        <v>4653</v>
      </c>
      <c r="Y17" s="75">
        <v>4757</v>
      </c>
      <c r="Z17" s="75">
        <v>25628</v>
      </c>
      <c r="AA17" s="86">
        <v>25643</v>
      </c>
    </row>
    <row r="18" spans="2:27" ht="15" customHeight="1" thickBot="1">
      <c r="B18" s="13" t="s">
        <v>203</v>
      </c>
      <c r="C18" s="13" t="s">
        <v>196</v>
      </c>
      <c r="D18" s="13" t="s">
        <v>197</v>
      </c>
      <c r="E18" s="73" t="s">
        <v>198</v>
      </c>
      <c r="F18" s="78"/>
      <c r="G18" s="81"/>
      <c r="H18" s="78"/>
      <c r="I18" s="76"/>
      <c r="J18" s="76"/>
      <c r="K18" s="76"/>
      <c r="L18" s="76"/>
      <c r="M18" s="87"/>
      <c r="N18" s="84"/>
      <c r="O18" s="76"/>
      <c r="P18" s="76"/>
      <c r="Q18" s="81"/>
      <c r="R18" s="78"/>
      <c r="S18" s="87"/>
      <c r="T18" s="146"/>
      <c r="U18" s="150"/>
      <c r="V18" s="84"/>
      <c r="W18" s="81"/>
      <c r="X18" s="78"/>
      <c r="Y18" s="76"/>
      <c r="Z18" s="76"/>
      <c r="AA18" s="87"/>
    </row>
    <row r="19" spans="2:27" ht="15" customHeight="1">
      <c r="B19" s="94" t="s">
        <v>48</v>
      </c>
      <c r="C19" s="95">
        <v>1</v>
      </c>
      <c r="D19" s="95" t="s">
        <v>47</v>
      </c>
      <c r="E19" s="106">
        <v>1</v>
      </c>
      <c r="F19" s="140">
        <v>9</v>
      </c>
      <c r="G19" s="141">
        <v>16</v>
      </c>
      <c r="H19" s="140">
        <v>5</v>
      </c>
      <c r="I19" s="138">
        <v>8</v>
      </c>
      <c r="J19" s="138">
        <v>0</v>
      </c>
      <c r="K19" s="138">
        <v>2</v>
      </c>
      <c r="L19" s="71">
        <v>5</v>
      </c>
      <c r="M19" s="88">
        <v>10</v>
      </c>
      <c r="N19" s="142">
        <v>2</v>
      </c>
      <c r="O19" s="138">
        <v>0</v>
      </c>
      <c r="P19" s="138">
        <v>8</v>
      </c>
      <c r="Q19" s="141">
        <v>10</v>
      </c>
      <c r="R19" s="140">
        <v>82</v>
      </c>
      <c r="S19" s="143">
        <v>124</v>
      </c>
      <c r="T19" s="147">
        <v>19</v>
      </c>
      <c r="U19" s="151">
        <v>6</v>
      </c>
      <c r="V19" s="148">
        <v>72</v>
      </c>
      <c r="W19" s="152">
        <v>119</v>
      </c>
      <c r="X19" s="140"/>
      <c r="Y19" s="138"/>
      <c r="Z19" s="138">
        <v>4</v>
      </c>
      <c r="AA19" s="143">
        <v>4</v>
      </c>
    </row>
    <row r="20" spans="2:27" ht="15" customHeight="1">
      <c r="B20" s="97" t="s">
        <v>49</v>
      </c>
      <c r="C20" s="20"/>
      <c r="D20" s="20"/>
      <c r="E20" s="33">
        <v>2</v>
      </c>
      <c r="F20" s="140">
        <v>661</v>
      </c>
      <c r="G20" s="141">
        <v>1329</v>
      </c>
      <c r="H20" s="140">
        <v>173</v>
      </c>
      <c r="I20" s="138">
        <v>408</v>
      </c>
      <c r="J20" s="138">
        <v>11</v>
      </c>
      <c r="K20" s="138">
        <v>44</v>
      </c>
      <c r="L20" s="71">
        <v>184</v>
      </c>
      <c r="M20" s="88">
        <v>452</v>
      </c>
      <c r="N20" s="142">
        <v>17</v>
      </c>
      <c r="O20" s="138"/>
      <c r="P20" s="138">
        <v>57</v>
      </c>
      <c r="Q20" s="141">
        <v>75</v>
      </c>
      <c r="R20" s="140">
        <v>1599</v>
      </c>
      <c r="S20" s="143">
        <v>2614</v>
      </c>
      <c r="T20" s="147">
        <v>257</v>
      </c>
      <c r="U20" s="151">
        <v>100</v>
      </c>
      <c r="V20" s="148">
        <v>1501</v>
      </c>
      <c r="W20" s="152">
        <v>2784</v>
      </c>
      <c r="X20" s="140">
        <v>40</v>
      </c>
      <c r="Y20" s="138">
        <v>40</v>
      </c>
      <c r="Z20" s="138">
        <v>157</v>
      </c>
      <c r="AA20" s="143">
        <v>157</v>
      </c>
    </row>
    <row r="21" spans="2:27" ht="15" customHeight="1">
      <c r="B21" s="97" t="s">
        <v>50</v>
      </c>
      <c r="C21" s="20">
        <v>1</v>
      </c>
      <c r="D21" s="20" t="s">
        <v>47</v>
      </c>
      <c r="E21" s="33">
        <v>3</v>
      </c>
      <c r="F21" s="140">
        <v>43</v>
      </c>
      <c r="G21" s="141">
        <v>87</v>
      </c>
      <c r="H21" s="140">
        <v>14</v>
      </c>
      <c r="I21" s="138">
        <v>28</v>
      </c>
      <c r="J21" s="138"/>
      <c r="K21" s="138"/>
      <c r="L21" s="71">
        <v>14</v>
      </c>
      <c r="M21" s="88">
        <v>28</v>
      </c>
      <c r="N21" s="142">
        <v>15</v>
      </c>
      <c r="O21" s="138"/>
      <c r="P21" s="138">
        <v>12</v>
      </c>
      <c r="Q21" s="141">
        <v>27</v>
      </c>
      <c r="R21" s="140">
        <v>190</v>
      </c>
      <c r="S21" s="143">
        <v>366</v>
      </c>
      <c r="T21" s="147">
        <v>24</v>
      </c>
      <c r="U21" s="151">
        <v>10</v>
      </c>
      <c r="V21" s="148">
        <v>197</v>
      </c>
      <c r="W21" s="152">
        <v>387</v>
      </c>
      <c r="X21" s="140">
        <v>2</v>
      </c>
      <c r="Y21" s="138">
        <v>2</v>
      </c>
      <c r="Z21" s="138">
        <v>10</v>
      </c>
      <c r="AA21" s="143">
        <v>10</v>
      </c>
    </row>
    <row r="22" spans="2:27" ht="15" customHeight="1">
      <c r="B22" s="97" t="s">
        <v>51</v>
      </c>
      <c r="C22" s="20"/>
      <c r="D22" s="20"/>
      <c r="E22" s="107">
        <v>4</v>
      </c>
      <c r="F22" s="140">
        <v>33</v>
      </c>
      <c r="G22" s="141">
        <v>57</v>
      </c>
      <c r="H22" s="140">
        <v>4</v>
      </c>
      <c r="I22" s="138">
        <v>7</v>
      </c>
      <c r="J22" s="138">
        <v>0</v>
      </c>
      <c r="K22" s="138">
        <v>1</v>
      </c>
      <c r="L22" s="71">
        <v>4</v>
      </c>
      <c r="M22" s="88">
        <v>8</v>
      </c>
      <c r="N22" s="142">
        <v>8</v>
      </c>
      <c r="O22" s="138"/>
      <c r="P22" s="138">
        <v>14</v>
      </c>
      <c r="Q22" s="141">
        <v>22</v>
      </c>
      <c r="R22" s="140">
        <v>322</v>
      </c>
      <c r="S22" s="143">
        <v>411</v>
      </c>
      <c r="T22" s="147">
        <v>76</v>
      </c>
      <c r="U22" s="151">
        <v>30</v>
      </c>
      <c r="V22" s="148">
        <v>242</v>
      </c>
      <c r="W22" s="152">
        <v>335</v>
      </c>
      <c r="X22" s="140">
        <v>5</v>
      </c>
      <c r="Y22" s="138">
        <v>5</v>
      </c>
      <c r="Z22" s="138">
        <v>23</v>
      </c>
      <c r="AA22" s="143">
        <v>23</v>
      </c>
    </row>
    <row r="23" spans="2:27" ht="15" customHeight="1">
      <c r="B23" s="97" t="s">
        <v>53</v>
      </c>
      <c r="C23" s="20">
        <v>1</v>
      </c>
      <c r="D23" s="20" t="s">
        <v>52</v>
      </c>
      <c r="E23" s="33">
        <v>5</v>
      </c>
      <c r="F23" s="140">
        <v>13</v>
      </c>
      <c r="G23" s="141">
        <v>34</v>
      </c>
      <c r="H23" s="140">
        <v>7</v>
      </c>
      <c r="I23" s="138">
        <v>16</v>
      </c>
      <c r="J23" s="138"/>
      <c r="K23" s="138"/>
      <c r="L23" s="71">
        <v>7</v>
      </c>
      <c r="M23" s="88">
        <v>16</v>
      </c>
      <c r="N23" s="142"/>
      <c r="O23" s="138"/>
      <c r="P23" s="138">
        <v>2</v>
      </c>
      <c r="Q23" s="141">
        <v>2</v>
      </c>
      <c r="R23" s="140">
        <v>93</v>
      </c>
      <c r="S23" s="143">
        <v>179</v>
      </c>
      <c r="T23" s="147">
        <v>12</v>
      </c>
      <c r="U23" s="151">
        <v>4</v>
      </c>
      <c r="V23" s="148">
        <v>86</v>
      </c>
      <c r="W23" s="152">
        <v>181</v>
      </c>
      <c r="X23" s="140">
        <v>0</v>
      </c>
      <c r="Y23" s="138">
        <v>0</v>
      </c>
      <c r="Z23" s="138">
        <v>6</v>
      </c>
      <c r="AA23" s="143">
        <v>6</v>
      </c>
    </row>
    <row r="24" spans="2:27" ht="15" customHeight="1">
      <c r="B24" s="97" t="s">
        <v>54</v>
      </c>
      <c r="C24" s="20">
        <v>1</v>
      </c>
      <c r="D24" s="20" t="s">
        <v>52</v>
      </c>
      <c r="E24" s="33">
        <v>6</v>
      </c>
      <c r="F24" s="140">
        <v>32</v>
      </c>
      <c r="G24" s="141">
        <v>53</v>
      </c>
      <c r="H24" s="140">
        <v>8</v>
      </c>
      <c r="I24" s="138">
        <v>12</v>
      </c>
      <c r="J24" s="138"/>
      <c r="K24" s="138">
        <v>3</v>
      </c>
      <c r="L24" s="71">
        <v>8</v>
      </c>
      <c r="M24" s="88">
        <v>15</v>
      </c>
      <c r="N24" s="142">
        <v>2</v>
      </c>
      <c r="O24" s="138"/>
      <c r="P24" s="138">
        <v>7</v>
      </c>
      <c r="Q24" s="141">
        <v>10</v>
      </c>
      <c r="R24" s="140">
        <v>164</v>
      </c>
      <c r="S24" s="143">
        <v>266</v>
      </c>
      <c r="T24" s="147">
        <v>33</v>
      </c>
      <c r="U24" s="151">
        <v>22</v>
      </c>
      <c r="V24" s="148">
        <v>127</v>
      </c>
      <c r="W24" s="152">
        <v>236</v>
      </c>
      <c r="X24" s="140">
        <v>1</v>
      </c>
      <c r="Y24" s="138">
        <v>1</v>
      </c>
      <c r="Z24" s="138">
        <v>15</v>
      </c>
      <c r="AA24" s="143">
        <v>15</v>
      </c>
    </row>
    <row r="25" spans="2:27" ht="15" customHeight="1">
      <c r="B25" s="97" t="s">
        <v>55</v>
      </c>
      <c r="C25" s="20"/>
      <c r="D25" s="20"/>
      <c r="E25" s="107">
        <v>7</v>
      </c>
      <c r="F25" s="140">
        <v>85</v>
      </c>
      <c r="G25" s="141">
        <v>115</v>
      </c>
      <c r="H25" s="140">
        <v>17</v>
      </c>
      <c r="I25" s="138">
        <v>29</v>
      </c>
      <c r="J25" s="138">
        <v>1</v>
      </c>
      <c r="K25" s="138">
        <v>2</v>
      </c>
      <c r="L25" s="71">
        <v>18</v>
      </c>
      <c r="M25" s="88">
        <v>31</v>
      </c>
      <c r="N25" s="142">
        <v>33</v>
      </c>
      <c r="O25" s="138"/>
      <c r="P25" s="138">
        <v>38</v>
      </c>
      <c r="Q25" s="141">
        <v>71</v>
      </c>
      <c r="R25" s="140">
        <v>473</v>
      </c>
      <c r="S25" s="143">
        <v>722</v>
      </c>
      <c r="T25" s="147">
        <v>109</v>
      </c>
      <c r="U25" s="151">
        <v>52</v>
      </c>
      <c r="V25" s="148">
        <v>401</v>
      </c>
      <c r="W25" s="152">
        <v>663</v>
      </c>
      <c r="X25" s="140">
        <v>12</v>
      </c>
      <c r="Y25" s="138">
        <v>12</v>
      </c>
      <c r="Z25" s="138">
        <v>39</v>
      </c>
      <c r="AA25" s="143">
        <v>39</v>
      </c>
    </row>
    <row r="26" spans="2:27" ht="15" customHeight="1">
      <c r="B26" s="97" t="s">
        <v>56</v>
      </c>
      <c r="C26" s="20">
        <v>1</v>
      </c>
      <c r="D26" s="20" t="s">
        <v>52</v>
      </c>
      <c r="E26" s="33">
        <v>8</v>
      </c>
      <c r="F26" s="140">
        <v>10</v>
      </c>
      <c r="G26" s="141">
        <v>17</v>
      </c>
      <c r="H26" s="140">
        <v>4</v>
      </c>
      <c r="I26" s="138">
        <v>7</v>
      </c>
      <c r="J26" s="138"/>
      <c r="K26" s="138"/>
      <c r="L26" s="71">
        <v>4</v>
      </c>
      <c r="M26" s="88">
        <v>7</v>
      </c>
      <c r="N26" s="142">
        <v>1</v>
      </c>
      <c r="O26" s="138"/>
      <c r="P26" s="138">
        <v>9</v>
      </c>
      <c r="Q26" s="141">
        <v>10</v>
      </c>
      <c r="R26" s="140">
        <v>83</v>
      </c>
      <c r="S26" s="143">
        <v>136</v>
      </c>
      <c r="T26" s="147">
        <v>13</v>
      </c>
      <c r="U26" s="151">
        <v>2</v>
      </c>
      <c r="V26" s="148">
        <v>82</v>
      </c>
      <c r="W26" s="152">
        <v>138</v>
      </c>
      <c r="X26" s="140">
        <v>1</v>
      </c>
      <c r="Y26" s="138">
        <v>3</v>
      </c>
      <c r="Z26" s="138">
        <v>8</v>
      </c>
      <c r="AA26" s="143">
        <v>8</v>
      </c>
    </row>
    <row r="27" spans="2:27" ht="15" customHeight="1">
      <c r="B27" s="97" t="s">
        <v>57</v>
      </c>
      <c r="C27" s="20"/>
      <c r="D27" s="20"/>
      <c r="E27" s="33">
        <v>9</v>
      </c>
      <c r="F27" s="140">
        <v>94</v>
      </c>
      <c r="G27" s="141">
        <v>140</v>
      </c>
      <c r="H27" s="140">
        <v>14</v>
      </c>
      <c r="I27" s="138">
        <v>27</v>
      </c>
      <c r="J27" s="138">
        <v>0</v>
      </c>
      <c r="K27" s="138">
        <v>1</v>
      </c>
      <c r="L27" s="71">
        <v>14</v>
      </c>
      <c r="M27" s="88">
        <v>28</v>
      </c>
      <c r="N27" s="142">
        <v>10</v>
      </c>
      <c r="O27" s="138"/>
      <c r="P27" s="138">
        <v>17</v>
      </c>
      <c r="Q27" s="141">
        <v>28</v>
      </c>
      <c r="R27" s="140">
        <v>677</v>
      </c>
      <c r="S27" s="143">
        <v>987</v>
      </c>
      <c r="T27" s="147">
        <v>133</v>
      </c>
      <c r="U27" s="151">
        <v>46</v>
      </c>
      <c r="V27" s="148">
        <v>540</v>
      </c>
      <c r="W27" s="152">
        <v>864</v>
      </c>
      <c r="X27" s="140">
        <v>8</v>
      </c>
      <c r="Y27" s="138">
        <v>8</v>
      </c>
      <c r="Z27" s="138">
        <v>33</v>
      </c>
      <c r="AA27" s="143">
        <v>33</v>
      </c>
    </row>
    <row r="28" spans="2:27" ht="15" customHeight="1">
      <c r="B28" s="97" t="s">
        <v>58</v>
      </c>
      <c r="C28" s="20">
        <v>1</v>
      </c>
      <c r="D28" s="20" t="s">
        <v>52</v>
      </c>
      <c r="E28" s="107">
        <v>10</v>
      </c>
      <c r="F28" s="140">
        <v>12</v>
      </c>
      <c r="G28" s="141">
        <v>16</v>
      </c>
      <c r="H28" s="140">
        <v>2</v>
      </c>
      <c r="I28" s="138">
        <v>2</v>
      </c>
      <c r="J28" s="138"/>
      <c r="K28" s="138"/>
      <c r="L28" s="71">
        <v>2</v>
      </c>
      <c r="M28" s="88">
        <v>2</v>
      </c>
      <c r="N28" s="142">
        <v>1</v>
      </c>
      <c r="O28" s="138"/>
      <c r="P28" s="138">
        <v>3</v>
      </c>
      <c r="Q28" s="141">
        <v>4</v>
      </c>
      <c r="R28" s="140">
        <v>125</v>
      </c>
      <c r="S28" s="143">
        <v>204</v>
      </c>
      <c r="T28" s="147">
        <v>28</v>
      </c>
      <c r="U28" s="151">
        <v>11</v>
      </c>
      <c r="V28" s="148">
        <v>92</v>
      </c>
      <c r="W28" s="152">
        <v>171</v>
      </c>
      <c r="X28" s="140"/>
      <c r="Y28" s="138"/>
      <c r="Z28" s="138">
        <v>2</v>
      </c>
      <c r="AA28" s="143">
        <v>2</v>
      </c>
    </row>
    <row r="29" spans="2:27" ht="15" customHeight="1">
      <c r="B29" s="97" t="s">
        <v>59</v>
      </c>
      <c r="C29" s="20"/>
      <c r="D29" s="20"/>
      <c r="E29" s="33">
        <v>11</v>
      </c>
      <c r="F29" s="140">
        <v>412</v>
      </c>
      <c r="G29" s="141">
        <v>702</v>
      </c>
      <c r="H29" s="140">
        <v>127</v>
      </c>
      <c r="I29" s="138">
        <v>223</v>
      </c>
      <c r="J29" s="138">
        <v>2</v>
      </c>
      <c r="K29" s="138">
        <v>8</v>
      </c>
      <c r="L29" s="71">
        <v>129</v>
      </c>
      <c r="M29" s="88">
        <v>231</v>
      </c>
      <c r="N29" s="142">
        <v>44</v>
      </c>
      <c r="O29" s="138">
        <v>4</v>
      </c>
      <c r="P29" s="138">
        <v>82</v>
      </c>
      <c r="Q29" s="141">
        <v>131</v>
      </c>
      <c r="R29" s="140">
        <v>1748</v>
      </c>
      <c r="S29" s="143">
        <v>2383</v>
      </c>
      <c r="T29" s="147">
        <v>381</v>
      </c>
      <c r="U29" s="151">
        <v>106</v>
      </c>
      <c r="V29" s="148">
        <v>1521</v>
      </c>
      <c r="W29" s="152">
        <v>2258</v>
      </c>
      <c r="X29" s="140">
        <v>23</v>
      </c>
      <c r="Y29" s="138">
        <v>24</v>
      </c>
      <c r="Z29" s="138">
        <v>140</v>
      </c>
      <c r="AA29" s="143">
        <v>140</v>
      </c>
    </row>
    <row r="30" spans="2:27" ht="15" customHeight="1">
      <c r="B30" s="97" t="s">
        <v>60</v>
      </c>
      <c r="C30" s="20">
        <v>1</v>
      </c>
      <c r="D30" s="20" t="s">
        <v>47</v>
      </c>
      <c r="E30" s="33">
        <v>12</v>
      </c>
      <c r="F30" s="140">
        <v>11</v>
      </c>
      <c r="G30" s="141">
        <v>20</v>
      </c>
      <c r="H30" s="140">
        <v>6</v>
      </c>
      <c r="I30" s="138">
        <v>14</v>
      </c>
      <c r="J30" s="138"/>
      <c r="K30" s="138"/>
      <c r="L30" s="71">
        <v>6</v>
      </c>
      <c r="M30" s="88">
        <v>14</v>
      </c>
      <c r="N30" s="142"/>
      <c r="O30" s="138"/>
      <c r="P30" s="138">
        <v>9</v>
      </c>
      <c r="Q30" s="141">
        <v>9</v>
      </c>
      <c r="R30" s="140">
        <v>95</v>
      </c>
      <c r="S30" s="143">
        <v>162</v>
      </c>
      <c r="T30" s="147">
        <v>12</v>
      </c>
      <c r="U30" s="151">
        <v>8</v>
      </c>
      <c r="V30" s="148">
        <v>90</v>
      </c>
      <c r="W30" s="152">
        <v>165</v>
      </c>
      <c r="X30" s="140">
        <v>0</v>
      </c>
      <c r="Y30" s="138">
        <v>0</v>
      </c>
      <c r="Z30" s="138">
        <v>7</v>
      </c>
      <c r="AA30" s="143">
        <v>7</v>
      </c>
    </row>
    <row r="31" spans="2:27" ht="15" customHeight="1">
      <c r="B31" s="97" t="s">
        <v>61</v>
      </c>
      <c r="C31" s="20">
        <v>1</v>
      </c>
      <c r="D31" s="20" t="s">
        <v>47</v>
      </c>
      <c r="E31" s="107">
        <v>13</v>
      </c>
      <c r="F31" s="140">
        <v>37</v>
      </c>
      <c r="G31" s="141">
        <v>54</v>
      </c>
      <c r="H31" s="140">
        <v>7</v>
      </c>
      <c r="I31" s="138">
        <v>12</v>
      </c>
      <c r="J31" s="138"/>
      <c r="K31" s="138">
        <v>2</v>
      </c>
      <c r="L31" s="71">
        <v>7</v>
      </c>
      <c r="M31" s="88">
        <v>14</v>
      </c>
      <c r="N31" s="142">
        <v>16</v>
      </c>
      <c r="O31" s="138"/>
      <c r="P31" s="138">
        <v>19</v>
      </c>
      <c r="Q31" s="141">
        <v>36</v>
      </c>
      <c r="R31" s="140">
        <v>98</v>
      </c>
      <c r="S31" s="143">
        <v>135</v>
      </c>
      <c r="T31" s="147">
        <v>32</v>
      </c>
      <c r="U31" s="151">
        <v>7</v>
      </c>
      <c r="V31" s="148">
        <v>102</v>
      </c>
      <c r="W31" s="152">
        <v>146</v>
      </c>
      <c r="X31" s="140">
        <v>0</v>
      </c>
      <c r="Y31" s="138">
        <v>0</v>
      </c>
      <c r="Z31" s="138">
        <v>23</v>
      </c>
      <c r="AA31" s="143">
        <v>23</v>
      </c>
    </row>
    <row r="32" spans="2:27" ht="15" customHeight="1">
      <c r="B32" s="97" t="s">
        <v>62</v>
      </c>
      <c r="C32" s="20"/>
      <c r="D32" s="20"/>
      <c r="E32" s="33">
        <v>14</v>
      </c>
      <c r="F32" s="140">
        <v>343</v>
      </c>
      <c r="G32" s="141">
        <v>522</v>
      </c>
      <c r="H32" s="140">
        <v>70</v>
      </c>
      <c r="I32" s="138">
        <v>135</v>
      </c>
      <c r="J32" s="138">
        <v>2</v>
      </c>
      <c r="K32" s="138">
        <v>10</v>
      </c>
      <c r="L32" s="71">
        <v>72</v>
      </c>
      <c r="M32" s="88">
        <v>145</v>
      </c>
      <c r="N32" s="142">
        <v>20</v>
      </c>
      <c r="O32" s="138"/>
      <c r="P32" s="138">
        <v>94</v>
      </c>
      <c r="Q32" s="141">
        <v>115</v>
      </c>
      <c r="R32" s="140">
        <v>1324</v>
      </c>
      <c r="S32" s="143">
        <v>1858</v>
      </c>
      <c r="T32" s="147">
        <v>285</v>
      </c>
      <c r="U32" s="151">
        <v>131</v>
      </c>
      <c r="V32" s="148">
        <v>1095</v>
      </c>
      <c r="W32" s="152">
        <v>1702</v>
      </c>
      <c r="X32" s="140">
        <v>28</v>
      </c>
      <c r="Y32" s="138">
        <v>28</v>
      </c>
      <c r="Z32" s="138">
        <v>125</v>
      </c>
      <c r="AA32" s="143">
        <v>125</v>
      </c>
    </row>
    <row r="33" spans="2:27" ht="15" customHeight="1">
      <c r="B33" s="97" t="s">
        <v>64</v>
      </c>
      <c r="C33" s="20" t="s">
        <v>63</v>
      </c>
      <c r="D33" s="20"/>
      <c r="E33" s="33">
        <v>15</v>
      </c>
      <c r="F33" s="140">
        <v>8874</v>
      </c>
      <c r="G33" s="141">
        <v>18104</v>
      </c>
      <c r="H33" s="140">
        <v>2172</v>
      </c>
      <c r="I33" s="138">
        <v>4685</v>
      </c>
      <c r="J33" s="138">
        <v>156</v>
      </c>
      <c r="K33" s="138">
        <v>595</v>
      </c>
      <c r="L33" s="71">
        <v>2328</v>
      </c>
      <c r="M33" s="88">
        <v>5280</v>
      </c>
      <c r="N33" s="142">
        <v>462</v>
      </c>
      <c r="O33" s="138">
        <v>6</v>
      </c>
      <c r="P33" s="138">
        <v>932</v>
      </c>
      <c r="Q33" s="141">
        <v>1400</v>
      </c>
      <c r="R33" s="140">
        <v>20063</v>
      </c>
      <c r="S33" s="143">
        <v>33318</v>
      </c>
      <c r="T33" s="147">
        <v>3171</v>
      </c>
      <c r="U33" s="151">
        <v>640</v>
      </c>
      <c r="V33" s="148">
        <v>19980</v>
      </c>
      <c r="W33" s="152">
        <v>36187</v>
      </c>
      <c r="X33" s="140">
        <v>430</v>
      </c>
      <c r="Y33" s="138">
        <v>452</v>
      </c>
      <c r="Z33" s="138">
        <v>2457</v>
      </c>
      <c r="AA33" s="143">
        <v>2458</v>
      </c>
    </row>
    <row r="34" spans="2:27" ht="15" customHeight="1">
      <c r="B34" s="97" t="s">
        <v>65</v>
      </c>
      <c r="C34" s="20">
        <v>1</v>
      </c>
      <c r="D34" s="20" t="s">
        <v>52</v>
      </c>
      <c r="E34" s="107">
        <v>16</v>
      </c>
      <c r="F34" s="140">
        <v>2</v>
      </c>
      <c r="G34" s="141">
        <v>3</v>
      </c>
      <c r="H34" s="140"/>
      <c r="I34" s="138"/>
      <c r="J34" s="138"/>
      <c r="K34" s="138"/>
      <c r="L34" s="71">
        <v>0</v>
      </c>
      <c r="M34" s="88">
        <v>0</v>
      </c>
      <c r="N34" s="142"/>
      <c r="O34" s="138"/>
      <c r="P34" s="138"/>
      <c r="Q34" s="141"/>
      <c r="R34" s="140">
        <v>18</v>
      </c>
      <c r="S34" s="143">
        <v>35</v>
      </c>
      <c r="T34" s="147">
        <v>1</v>
      </c>
      <c r="U34" s="151"/>
      <c r="V34" s="148">
        <v>17</v>
      </c>
      <c r="W34" s="152">
        <v>34</v>
      </c>
      <c r="X34" s="140"/>
      <c r="Y34" s="138"/>
      <c r="Z34" s="138">
        <v>3</v>
      </c>
      <c r="AA34" s="143">
        <v>3</v>
      </c>
    </row>
    <row r="35" spans="2:27" ht="15" customHeight="1">
      <c r="B35" s="97" t="s">
        <v>66</v>
      </c>
      <c r="C35" s="20" t="s">
        <v>63</v>
      </c>
      <c r="D35" s="20"/>
      <c r="E35" s="33">
        <v>17</v>
      </c>
      <c r="F35" s="140">
        <v>1479</v>
      </c>
      <c r="G35" s="141">
        <v>2920</v>
      </c>
      <c r="H35" s="140">
        <v>366</v>
      </c>
      <c r="I35" s="138">
        <v>826</v>
      </c>
      <c r="J35" s="138">
        <v>34</v>
      </c>
      <c r="K35" s="138">
        <v>122</v>
      </c>
      <c r="L35" s="71">
        <v>400</v>
      </c>
      <c r="M35" s="88">
        <v>948</v>
      </c>
      <c r="N35" s="142">
        <v>48</v>
      </c>
      <c r="O35" s="138"/>
      <c r="P35" s="138">
        <v>186</v>
      </c>
      <c r="Q35" s="141">
        <v>234</v>
      </c>
      <c r="R35" s="140">
        <v>4586</v>
      </c>
      <c r="S35" s="143">
        <v>7228</v>
      </c>
      <c r="T35" s="147">
        <v>911</v>
      </c>
      <c r="U35" s="151">
        <v>349</v>
      </c>
      <c r="V35" s="148">
        <v>3960</v>
      </c>
      <c r="W35" s="152">
        <v>7150</v>
      </c>
      <c r="X35" s="140">
        <v>98</v>
      </c>
      <c r="Y35" s="138">
        <v>101</v>
      </c>
      <c r="Z35" s="138">
        <v>512</v>
      </c>
      <c r="AA35" s="143">
        <v>512</v>
      </c>
    </row>
    <row r="36" spans="2:27" ht="15" customHeight="1">
      <c r="B36" s="97" t="s">
        <v>67</v>
      </c>
      <c r="C36" s="20"/>
      <c r="D36" s="20"/>
      <c r="E36" s="33">
        <v>18</v>
      </c>
      <c r="F36" s="140">
        <v>35</v>
      </c>
      <c r="G36" s="141">
        <v>65</v>
      </c>
      <c r="H36" s="140">
        <v>12</v>
      </c>
      <c r="I36" s="138">
        <v>24</v>
      </c>
      <c r="J36" s="138"/>
      <c r="K36" s="138">
        <v>3</v>
      </c>
      <c r="L36" s="71">
        <v>12</v>
      </c>
      <c r="M36" s="88">
        <v>27</v>
      </c>
      <c r="N36" s="142">
        <v>4</v>
      </c>
      <c r="O36" s="138"/>
      <c r="P36" s="138">
        <v>7</v>
      </c>
      <c r="Q36" s="141">
        <v>12</v>
      </c>
      <c r="R36" s="140">
        <v>337</v>
      </c>
      <c r="S36" s="143">
        <v>493</v>
      </c>
      <c r="T36" s="147">
        <v>66</v>
      </c>
      <c r="U36" s="151">
        <v>33</v>
      </c>
      <c r="V36" s="148">
        <v>262</v>
      </c>
      <c r="W36" s="152">
        <v>433</v>
      </c>
      <c r="X36" s="140">
        <v>1</v>
      </c>
      <c r="Y36" s="138">
        <v>1</v>
      </c>
      <c r="Z36" s="138">
        <v>20</v>
      </c>
      <c r="AA36" s="143">
        <v>20</v>
      </c>
    </row>
    <row r="37" spans="2:27" ht="15" customHeight="1">
      <c r="B37" s="97" t="s">
        <v>68</v>
      </c>
      <c r="C37" s="20">
        <v>1</v>
      </c>
      <c r="D37" s="20" t="s">
        <v>47</v>
      </c>
      <c r="E37" s="107">
        <v>19</v>
      </c>
      <c r="F37" s="140">
        <v>44</v>
      </c>
      <c r="G37" s="141">
        <v>94</v>
      </c>
      <c r="H37" s="140">
        <v>9</v>
      </c>
      <c r="I37" s="138">
        <v>17</v>
      </c>
      <c r="J37" s="138"/>
      <c r="K37" s="138">
        <v>1</v>
      </c>
      <c r="L37" s="71">
        <v>9</v>
      </c>
      <c r="M37" s="88">
        <v>18</v>
      </c>
      <c r="N37" s="142">
        <v>15</v>
      </c>
      <c r="O37" s="138">
        <v>1</v>
      </c>
      <c r="P37" s="138">
        <v>35</v>
      </c>
      <c r="Q37" s="141">
        <v>51</v>
      </c>
      <c r="R37" s="140">
        <v>368</v>
      </c>
      <c r="S37" s="143">
        <v>550</v>
      </c>
      <c r="T37" s="147">
        <v>96</v>
      </c>
      <c r="U37" s="151">
        <v>22</v>
      </c>
      <c r="V37" s="148">
        <v>310</v>
      </c>
      <c r="W37" s="152">
        <v>501</v>
      </c>
      <c r="X37" s="140">
        <v>1</v>
      </c>
      <c r="Y37" s="138">
        <v>1</v>
      </c>
      <c r="Z37" s="138">
        <v>17</v>
      </c>
      <c r="AA37" s="143">
        <v>17</v>
      </c>
    </row>
    <row r="38" spans="2:27" ht="15" customHeight="1">
      <c r="B38" s="97" t="s">
        <v>69</v>
      </c>
      <c r="C38" s="20"/>
      <c r="D38" s="20"/>
      <c r="E38" s="33">
        <v>20</v>
      </c>
      <c r="F38" s="140">
        <v>25</v>
      </c>
      <c r="G38" s="141">
        <v>54</v>
      </c>
      <c r="H38" s="140">
        <v>7</v>
      </c>
      <c r="I38" s="138">
        <v>13</v>
      </c>
      <c r="J38" s="138">
        <v>1</v>
      </c>
      <c r="K38" s="138">
        <v>7</v>
      </c>
      <c r="L38" s="71">
        <v>8</v>
      </c>
      <c r="M38" s="88">
        <v>20</v>
      </c>
      <c r="N38" s="142">
        <v>2</v>
      </c>
      <c r="O38" s="138">
        <v>2</v>
      </c>
      <c r="P38" s="138">
        <v>12</v>
      </c>
      <c r="Q38" s="141">
        <v>17</v>
      </c>
      <c r="R38" s="140">
        <v>137</v>
      </c>
      <c r="S38" s="143">
        <v>247</v>
      </c>
      <c r="T38" s="147">
        <v>24</v>
      </c>
      <c r="U38" s="151">
        <v>13</v>
      </c>
      <c r="V38" s="148">
        <v>125</v>
      </c>
      <c r="W38" s="152">
        <v>247</v>
      </c>
      <c r="X38" s="140">
        <v>3</v>
      </c>
      <c r="Y38" s="138">
        <v>4</v>
      </c>
      <c r="Z38" s="138">
        <v>12</v>
      </c>
      <c r="AA38" s="143">
        <v>12</v>
      </c>
    </row>
    <row r="39" spans="2:27" ht="15" customHeight="1">
      <c r="B39" s="97" t="s">
        <v>70</v>
      </c>
      <c r="C39" s="20">
        <v>1</v>
      </c>
      <c r="D39" s="20" t="s">
        <v>52</v>
      </c>
      <c r="E39" s="33">
        <v>21</v>
      </c>
      <c r="F39" s="140">
        <v>9.933</v>
      </c>
      <c r="G39" s="141">
        <v>18.942</v>
      </c>
      <c r="H39" s="140">
        <v>2.31</v>
      </c>
      <c r="I39" s="138">
        <v>4.389</v>
      </c>
      <c r="J39" s="138"/>
      <c r="K39" s="138"/>
      <c r="L39" s="71">
        <v>2.31</v>
      </c>
      <c r="M39" s="88">
        <v>4.389</v>
      </c>
      <c r="N39" s="142"/>
      <c r="O39" s="138"/>
      <c r="P39" s="138">
        <v>2</v>
      </c>
      <c r="Q39" s="141">
        <v>2</v>
      </c>
      <c r="R39" s="140">
        <v>80.388</v>
      </c>
      <c r="S39" s="143">
        <v>127.05</v>
      </c>
      <c r="T39" s="147">
        <v>16.17</v>
      </c>
      <c r="U39" s="151">
        <v>4.389</v>
      </c>
      <c r="V39" s="148">
        <v>64.13900000000001</v>
      </c>
      <c r="W39" s="152">
        <v>112.88</v>
      </c>
      <c r="X39" s="140"/>
      <c r="Y39" s="138"/>
      <c r="Z39" s="138">
        <v>3</v>
      </c>
      <c r="AA39" s="143">
        <v>3</v>
      </c>
    </row>
    <row r="40" spans="2:27" ht="15" customHeight="1">
      <c r="B40" s="97" t="s">
        <v>71</v>
      </c>
      <c r="C40" s="20">
        <v>1</v>
      </c>
      <c r="D40" s="20" t="s">
        <v>47</v>
      </c>
      <c r="E40" s="107">
        <v>22</v>
      </c>
      <c r="F40" s="140">
        <v>42</v>
      </c>
      <c r="G40" s="141">
        <v>77</v>
      </c>
      <c r="H40" s="140">
        <v>15</v>
      </c>
      <c r="I40" s="138">
        <v>24</v>
      </c>
      <c r="J40" s="138"/>
      <c r="K40" s="138">
        <v>1</v>
      </c>
      <c r="L40" s="71">
        <v>15</v>
      </c>
      <c r="M40" s="88">
        <v>25</v>
      </c>
      <c r="N40" s="142">
        <v>1</v>
      </c>
      <c r="O40" s="138"/>
      <c r="P40" s="138">
        <v>11</v>
      </c>
      <c r="Q40" s="141">
        <v>12</v>
      </c>
      <c r="R40" s="140">
        <v>232</v>
      </c>
      <c r="S40" s="143">
        <v>397</v>
      </c>
      <c r="T40" s="147">
        <v>32</v>
      </c>
      <c r="U40" s="151">
        <v>17</v>
      </c>
      <c r="V40" s="148">
        <v>210</v>
      </c>
      <c r="W40" s="152">
        <v>385</v>
      </c>
      <c r="X40" s="140">
        <v>3</v>
      </c>
      <c r="Y40" s="138">
        <v>3</v>
      </c>
      <c r="Z40" s="138">
        <v>9</v>
      </c>
      <c r="AA40" s="143">
        <v>9</v>
      </c>
    </row>
    <row r="41" spans="2:27" ht="15" customHeight="1">
      <c r="B41" s="97" t="s">
        <v>72</v>
      </c>
      <c r="C41" s="20"/>
      <c r="D41" s="20"/>
      <c r="E41" s="33">
        <v>23</v>
      </c>
      <c r="F41" s="140">
        <v>32</v>
      </c>
      <c r="G41" s="141">
        <v>48</v>
      </c>
      <c r="H41" s="140">
        <v>6</v>
      </c>
      <c r="I41" s="138">
        <v>12</v>
      </c>
      <c r="J41" s="138"/>
      <c r="K41" s="138"/>
      <c r="L41" s="71">
        <v>6</v>
      </c>
      <c r="M41" s="88">
        <v>12</v>
      </c>
      <c r="N41" s="142">
        <v>1</v>
      </c>
      <c r="O41" s="138">
        <v>2</v>
      </c>
      <c r="P41" s="138">
        <v>9</v>
      </c>
      <c r="Q41" s="141">
        <v>12</v>
      </c>
      <c r="R41" s="140">
        <v>260</v>
      </c>
      <c r="S41" s="143">
        <v>373</v>
      </c>
      <c r="T41" s="147">
        <v>53</v>
      </c>
      <c r="U41" s="151">
        <v>13</v>
      </c>
      <c r="V41" s="148">
        <v>212</v>
      </c>
      <c r="W41" s="152">
        <v>331</v>
      </c>
      <c r="X41" s="140">
        <v>3</v>
      </c>
      <c r="Y41" s="138">
        <v>3</v>
      </c>
      <c r="Z41" s="138">
        <v>14</v>
      </c>
      <c r="AA41" s="143">
        <v>14</v>
      </c>
    </row>
    <row r="42" spans="2:27" ht="15" customHeight="1">
      <c r="B42" s="97" t="s">
        <v>73</v>
      </c>
      <c r="C42" s="20">
        <v>1</v>
      </c>
      <c r="D42" s="20" t="s">
        <v>47</v>
      </c>
      <c r="E42" s="33">
        <v>24</v>
      </c>
      <c r="F42" s="140">
        <v>19</v>
      </c>
      <c r="G42" s="141">
        <v>53</v>
      </c>
      <c r="H42" s="140">
        <v>10</v>
      </c>
      <c r="I42" s="138">
        <v>19</v>
      </c>
      <c r="J42" s="138"/>
      <c r="K42" s="138">
        <v>2</v>
      </c>
      <c r="L42" s="71">
        <v>10</v>
      </c>
      <c r="M42" s="88">
        <v>21</v>
      </c>
      <c r="N42" s="142"/>
      <c r="O42" s="138"/>
      <c r="P42" s="138"/>
      <c r="Q42" s="141"/>
      <c r="R42" s="140">
        <v>71</v>
      </c>
      <c r="S42" s="143">
        <v>135</v>
      </c>
      <c r="T42" s="147">
        <v>6</v>
      </c>
      <c r="U42" s="151">
        <v>5</v>
      </c>
      <c r="V42" s="148">
        <v>70</v>
      </c>
      <c r="W42" s="152">
        <v>145</v>
      </c>
      <c r="X42" s="140">
        <v>1</v>
      </c>
      <c r="Y42" s="138">
        <v>1</v>
      </c>
      <c r="Z42" s="138">
        <v>7</v>
      </c>
      <c r="AA42" s="143">
        <v>7</v>
      </c>
    </row>
    <row r="43" spans="2:27" ht="15" customHeight="1">
      <c r="B43" s="97" t="s">
        <v>74</v>
      </c>
      <c r="C43" s="20"/>
      <c r="D43" s="20"/>
      <c r="E43" s="107">
        <v>25</v>
      </c>
      <c r="F43" s="140">
        <v>70</v>
      </c>
      <c r="G43" s="141">
        <v>102</v>
      </c>
      <c r="H43" s="140">
        <v>9</v>
      </c>
      <c r="I43" s="138">
        <v>18</v>
      </c>
      <c r="J43" s="138"/>
      <c r="K43" s="138"/>
      <c r="L43" s="71">
        <v>9</v>
      </c>
      <c r="M43" s="88">
        <v>18</v>
      </c>
      <c r="N43" s="142">
        <v>50</v>
      </c>
      <c r="O43" s="138"/>
      <c r="P43" s="138">
        <v>47</v>
      </c>
      <c r="Q43" s="141">
        <v>98</v>
      </c>
      <c r="R43" s="140">
        <v>744</v>
      </c>
      <c r="S43" s="143">
        <v>951</v>
      </c>
      <c r="T43" s="147">
        <v>187</v>
      </c>
      <c r="U43" s="151">
        <v>81</v>
      </c>
      <c r="V43" s="148">
        <v>583</v>
      </c>
      <c r="W43" s="152">
        <v>799</v>
      </c>
      <c r="X43" s="140">
        <v>5</v>
      </c>
      <c r="Y43" s="138">
        <v>5</v>
      </c>
      <c r="Z43" s="138">
        <v>16</v>
      </c>
      <c r="AA43" s="143">
        <v>16</v>
      </c>
    </row>
    <row r="44" spans="2:27" ht="15" customHeight="1">
      <c r="B44" s="97" t="s">
        <v>76</v>
      </c>
      <c r="C44" s="20">
        <v>1</v>
      </c>
      <c r="D44" s="20" t="s">
        <v>75</v>
      </c>
      <c r="E44" s="33">
        <v>26</v>
      </c>
      <c r="F44" s="140">
        <v>18</v>
      </c>
      <c r="G44" s="141">
        <v>34</v>
      </c>
      <c r="H44" s="140">
        <v>6</v>
      </c>
      <c r="I44" s="138">
        <v>19</v>
      </c>
      <c r="J44" s="138"/>
      <c r="K44" s="138"/>
      <c r="L44" s="71">
        <v>6</v>
      </c>
      <c r="M44" s="88">
        <v>19</v>
      </c>
      <c r="N44" s="142">
        <v>10</v>
      </c>
      <c r="O44" s="138"/>
      <c r="P44" s="138">
        <v>30</v>
      </c>
      <c r="Q44" s="141">
        <v>41</v>
      </c>
      <c r="R44" s="140">
        <v>258</v>
      </c>
      <c r="S44" s="143">
        <v>319</v>
      </c>
      <c r="T44" s="147">
        <v>62</v>
      </c>
      <c r="U44" s="151">
        <v>36</v>
      </c>
      <c r="V44" s="148">
        <v>207</v>
      </c>
      <c r="W44" s="152">
        <v>281</v>
      </c>
      <c r="X44" s="140">
        <v>0</v>
      </c>
      <c r="Y44" s="138">
        <v>0</v>
      </c>
      <c r="Z44" s="138">
        <v>5</v>
      </c>
      <c r="AA44" s="143">
        <v>5</v>
      </c>
    </row>
    <row r="45" spans="2:27" ht="15" customHeight="1">
      <c r="B45" s="97" t="s">
        <v>77</v>
      </c>
      <c r="C45" s="20"/>
      <c r="D45" s="20"/>
      <c r="E45" s="33">
        <v>27</v>
      </c>
      <c r="F45" s="140">
        <v>113</v>
      </c>
      <c r="G45" s="141">
        <v>178</v>
      </c>
      <c r="H45" s="140">
        <v>25</v>
      </c>
      <c r="I45" s="138">
        <v>59</v>
      </c>
      <c r="J45" s="138">
        <v>1</v>
      </c>
      <c r="K45" s="138">
        <v>8</v>
      </c>
      <c r="L45" s="71">
        <v>26</v>
      </c>
      <c r="M45" s="88">
        <v>67</v>
      </c>
      <c r="N45" s="142">
        <v>5</v>
      </c>
      <c r="O45" s="138">
        <v>1</v>
      </c>
      <c r="P45" s="138">
        <v>47</v>
      </c>
      <c r="Q45" s="141">
        <v>53</v>
      </c>
      <c r="R45" s="140">
        <v>483</v>
      </c>
      <c r="S45" s="143">
        <v>799</v>
      </c>
      <c r="T45" s="147">
        <v>92</v>
      </c>
      <c r="U45" s="151">
        <v>39</v>
      </c>
      <c r="V45" s="148">
        <v>431</v>
      </c>
      <c r="W45" s="152">
        <v>788</v>
      </c>
      <c r="X45" s="140">
        <v>12</v>
      </c>
      <c r="Y45" s="138">
        <v>12</v>
      </c>
      <c r="Z45" s="138">
        <v>26</v>
      </c>
      <c r="AA45" s="143">
        <v>26</v>
      </c>
    </row>
    <row r="46" spans="2:27" ht="15" customHeight="1">
      <c r="B46" s="97" t="s">
        <v>78</v>
      </c>
      <c r="C46" s="20"/>
      <c r="D46" s="20"/>
      <c r="E46" s="107">
        <v>28</v>
      </c>
      <c r="F46" s="140">
        <v>128</v>
      </c>
      <c r="G46" s="141">
        <v>223</v>
      </c>
      <c r="H46" s="140">
        <v>21</v>
      </c>
      <c r="I46" s="138">
        <v>44</v>
      </c>
      <c r="J46" s="138">
        <v>1</v>
      </c>
      <c r="K46" s="138">
        <v>6</v>
      </c>
      <c r="L46" s="71">
        <v>22</v>
      </c>
      <c r="M46" s="88">
        <v>50</v>
      </c>
      <c r="N46" s="142">
        <v>8</v>
      </c>
      <c r="O46" s="138"/>
      <c r="P46" s="138">
        <v>28</v>
      </c>
      <c r="Q46" s="141">
        <v>37</v>
      </c>
      <c r="R46" s="140">
        <v>741</v>
      </c>
      <c r="S46" s="143">
        <v>1174</v>
      </c>
      <c r="T46" s="147">
        <v>139</v>
      </c>
      <c r="U46" s="151">
        <v>45</v>
      </c>
      <c r="V46" s="148">
        <v>616</v>
      </c>
      <c r="W46" s="152">
        <v>1077</v>
      </c>
      <c r="X46" s="140">
        <v>17</v>
      </c>
      <c r="Y46" s="138">
        <v>17</v>
      </c>
      <c r="Z46" s="138">
        <v>37</v>
      </c>
      <c r="AA46" s="143">
        <v>37</v>
      </c>
    </row>
    <row r="47" spans="2:27" ht="15" customHeight="1">
      <c r="B47" s="97" t="s">
        <v>79</v>
      </c>
      <c r="C47" s="20">
        <v>1</v>
      </c>
      <c r="D47" s="20" t="s">
        <v>52</v>
      </c>
      <c r="E47" s="33">
        <v>29</v>
      </c>
      <c r="F47" s="140">
        <v>1</v>
      </c>
      <c r="G47" s="141">
        <v>3</v>
      </c>
      <c r="H47" s="140"/>
      <c r="I47" s="138">
        <v>2</v>
      </c>
      <c r="J47" s="138"/>
      <c r="K47" s="138"/>
      <c r="L47" s="71">
        <v>0</v>
      </c>
      <c r="M47" s="88">
        <v>2</v>
      </c>
      <c r="N47" s="142"/>
      <c r="O47" s="138"/>
      <c r="P47" s="138">
        <v>2</v>
      </c>
      <c r="Q47" s="141">
        <v>2</v>
      </c>
      <c r="R47" s="140">
        <v>12</v>
      </c>
      <c r="S47" s="143">
        <v>21</v>
      </c>
      <c r="T47" s="147">
        <v>2</v>
      </c>
      <c r="U47" s="151">
        <v>1</v>
      </c>
      <c r="V47" s="148">
        <v>11</v>
      </c>
      <c r="W47" s="152">
        <v>22</v>
      </c>
      <c r="X47" s="140"/>
      <c r="Y47" s="138"/>
      <c r="Z47" s="138"/>
      <c r="AA47" s="143"/>
    </row>
    <row r="48" spans="2:27" ht="15" customHeight="1">
      <c r="B48" s="97" t="s">
        <v>80</v>
      </c>
      <c r="C48" s="20">
        <v>1</v>
      </c>
      <c r="D48" s="20" t="s">
        <v>47</v>
      </c>
      <c r="E48" s="33">
        <v>30</v>
      </c>
      <c r="F48" s="140">
        <v>23</v>
      </c>
      <c r="G48" s="141">
        <v>35</v>
      </c>
      <c r="H48" s="140">
        <v>5</v>
      </c>
      <c r="I48" s="138">
        <v>8</v>
      </c>
      <c r="J48" s="138"/>
      <c r="K48" s="138"/>
      <c r="L48" s="71">
        <v>5</v>
      </c>
      <c r="M48" s="88">
        <v>8</v>
      </c>
      <c r="N48" s="142">
        <v>4</v>
      </c>
      <c r="O48" s="138">
        <v>1</v>
      </c>
      <c r="P48" s="138">
        <v>18</v>
      </c>
      <c r="Q48" s="141">
        <v>24</v>
      </c>
      <c r="R48" s="140">
        <v>151</v>
      </c>
      <c r="S48" s="143">
        <v>238</v>
      </c>
      <c r="T48" s="147">
        <v>46</v>
      </c>
      <c r="U48" s="151">
        <v>7</v>
      </c>
      <c r="V48" s="148">
        <v>127</v>
      </c>
      <c r="W48" s="152">
        <v>217</v>
      </c>
      <c r="X48" s="140">
        <v>1</v>
      </c>
      <c r="Y48" s="138">
        <v>1</v>
      </c>
      <c r="Z48" s="138">
        <v>11</v>
      </c>
      <c r="AA48" s="143">
        <v>11</v>
      </c>
    </row>
    <row r="49" spans="2:27" ht="15" customHeight="1">
      <c r="B49" s="97" t="s">
        <v>81</v>
      </c>
      <c r="C49" s="20">
        <v>1</v>
      </c>
      <c r="D49" s="20" t="s">
        <v>52</v>
      </c>
      <c r="E49" s="107">
        <v>31</v>
      </c>
      <c r="F49" s="140">
        <v>8</v>
      </c>
      <c r="G49" s="141">
        <v>9</v>
      </c>
      <c r="H49" s="140">
        <v>1</v>
      </c>
      <c r="I49" s="138">
        <v>2</v>
      </c>
      <c r="J49" s="138"/>
      <c r="K49" s="138"/>
      <c r="L49" s="71">
        <v>1</v>
      </c>
      <c r="M49" s="88">
        <v>2</v>
      </c>
      <c r="N49" s="142"/>
      <c r="O49" s="138"/>
      <c r="P49" s="138">
        <v>1</v>
      </c>
      <c r="Q49" s="141">
        <v>1</v>
      </c>
      <c r="R49" s="140">
        <v>55</v>
      </c>
      <c r="S49" s="143">
        <v>107</v>
      </c>
      <c r="T49" s="147">
        <v>7</v>
      </c>
      <c r="U49" s="151">
        <v>3</v>
      </c>
      <c r="V49" s="148">
        <v>47</v>
      </c>
      <c r="W49" s="152">
        <v>100</v>
      </c>
      <c r="X49" s="140"/>
      <c r="Y49" s="138"/>
      <c r="Z49" s="138">
        <v>3</v>
      </c>
      <c r="AA49" s="143">
        <v>3</v>
      </c>
    </row>
    <row r="50" spans="2:27" ht="15" customHeight="1">
      <c r="B50" s="97" t="s">
        <v>82</v>
      </c>
      <c r="C50" s="20"/>
      <c r="D50" s="20"/>
      <c r="E50" s="33">
        <v>32</v>
      </c>
      <c r="F50" s="140">
        <v>76</v>
      </c>
      <c r="G50" s="141">
        <v>131</v>
      </c>
      <c r="H50" s="140">
        <v>19</v>
      </c>
      <c r="I50" s="138">
        <v>35</v>
      </c>
      <c r="J50" s="138"/>
      <c r="K50" s="138"/>
      <c r="L50" s="71">
        <v>19</v>
      </c>
      <c r="M50" s="88">
        <v>35</v>
      </c>
      <c r="N50" s="142">
        <v>1</v>
      </c>
      <c r="O50" s="138">
        <v>1</v>
      </c>
      <c r="P50" s="138">
        <v>24</v>
      </c>
      <c r="Q50" s="141">
        <v>26</v>
      </c>
      <c r="R50" s="140">
        <v>431</v>
      </c>
      <c r="S50" s="143">
        <v>725</v>
      </c>
      <c r="T50" s="147">
        <v>70</v>
      </c>
      <c r="U50" s="151">
        <v>43</v>
      </c>
      <c r="V50" s="148">
        <v>363</v>
      </c>
      <c r="W50" s="152">
        <v>673</v>
      </c>
      <c r="X50" s="140">
        <v>2</v>
      </c>
      <c r="Y50" s="138">
        <v>2</v>
      </c>
      <c r="Z50" s="138">
        <v>28</v>
      </c>
      <c r="AA50" s="143">
        <v>28</v>
      </c>
    </row>
    <row r="51" spans="2:27" ht="15" customHeight="1">
      <c r="B51" s="97" t="s">
        <v>83</v>
      </c>
      <c r="C51" s="20"/>
      <c r="D51" s="20"/>
      <c r="E51" s="33">
        <v>33</v>
      </c>
      <c r="F51" s="140">
        <v>91</v>
      </c>
      <c r="G51" s="141">
        <v>150</v>
      </c>
      <c r="H51" s="140">
        <v>13</v>
      </c>
      <c r="I51" s="138">
        <v>21</v>
      </c>
      <c r="J51" s="138"/>
      <c r="K51" s="138"/>
      <c r="L51" s="71">
        <v>13</v>
      </c>
      <c r="M51" s="88">
        <v>21</v>
      </c>
      <c r="N51" s="142">
        <v>13</v>
      </c>
      <c r="O51" s="138"/>
      <c r="P51" s="138">
        <v>16</v>
      </c>
      <c r="Q51" s="141">
        <v>29</v>
      </c>
      <c r="R51" s="140">
        <v>807</v>
      </c>
      <c r="S51" s="143">
        <v>1047</v>
      </c>
      <c r="T51" s="147">
        <v>173</v>
      </c>
      <c r="U51" s="151">
        <v>93</v>
      </c>
      <c r="V51" s="148">
        <v>583</v>
      </c>
      <c r="W51" s="152">
        <v>831</v>
      </c>
      <c r="X51" s="140">
        <v>11</v>
      </c>
      <c r="Y51" s="138">
        <v>11</v>
      </c>
      <c r="Z51" s="138">
        <v>32</v>
      </c>
      <c r="AA51" s="143">
        <v>32</v>
      </c>
    </row>
    <row r="52" spans="2:27" ht="15" customHeight="1">
      <c r="B52" s="97" t="s">
        <v>84</v>
      </c>
      <c r="C52" s="20" t="s">
        <v>63</v>
      </c>
      <c r="D52" s="20"/>
      <c r="E52" s="107">
        <v>34</v>
      </c>
      <c r="F52" s="140">
        <v>1192</v>
      </c>
      <c r="G52" s="141">
        <v>2017</v>
      </c>
      <c r="H52" s="140">
        <v>216</v>
      </c>
      <c r="I52" s="138">
        <v>429</v>
      </c>
      <c r="J52" s="138">
        <v>12</v>
      </c>
      <c r="K52" s="138">
        <v>41</v>
      </c>
      <c r="L52" s="71">
        <v>228</v>
      </c>
      <c r="M52" s="88">
        <v>470</v>
      </c>
      <c r="N52" s="142">
        <v>121</v>
      </c>
      <c r="O52" s="138"/>
      <c r="P52" s="138">
        <v>203</v>
      </c>
      <c r="Q52" s="141">
        <v>325</v>
      </c>
      <c r="R52" s="140">
        <v>5689</v>
      </c>
      <c r="S52" s="143">
        <v>8060</v>
      </c>
      <c r="T52" s="147">
        <v>1065</v>
      </c>
      <c r="U52" s="151">
        <v>333</v>
      </c>
      <c r="V52" s="148">
        <v>4844</v>
      </c>
      <c r="W52" s="152">
        <v>7457</v>
      </c>
      <c r="X52" s="140">
        <v>67</v>
      </c>
      <c r="Y52" s="138">
        <v>67</v>
      </c>
      <c r="Z52" s="138">
        <v>415</v>
      </c>
      <c r="AA52" s="143">
        <v>415</v>
      </c>
    </row>
    <row r="53" spans="2:27" ht="15" customHeight="1">
      <c r="B53" s="97" t="s">
        <v>85</v>
      </c>
      <c r="C53" s="20"/>
      <c r="D53" s="20"/>
      <c r="E53" s="33">
        <v>35</v>
      </c>
      <c r="F53" s="140">
        <v>18</v>
      </c>
      <c r="G53" s="141">
        <v>26</v>
      </c>
      <c r="H53" s="140">
        <v>3</v>
      </c>
      <c r="I53" s="138">
        <v>5</v>
      </c>
      <c r="J53" s="138"/>
      <c r="K53" s="138"/>
      <c r="L53" s="71">
        <v>3</v>
      </c>
      <c r="M53" s="88">
        <v>5</v>
      </c>
      <c r="N53" s="142">
        <v>1</v>
      </c>
      <c r="O53" s="138"/>
      <c r="P53" s="138">
        <v>10</v>
      </c>
      <c r="Q53" s="141">
        <v>12</v>
      </c>
      <c r="R53" s="140">
        <v>255</v>
      </c>
      <c r="S53" s="143">
        <v>342</v>
      </c>
      <c r="T53" s="147">
        <v>70</v>
      </c>
      <c r="U53" s="151">
        <v>13</v>
      </c>
      <c r="V53" s="148">
        <v>187</v>
      </c>
      <c r="W53" s="152">
        <v>276</v>
      </c>
      <c r="X53" s="140"/>
      <c r="Y53" s="138"/>
      <c r="Z53" s="138">
        <v>7</v>
      </c>
      <c r="AA53" s="143">
        <v>7</v>
      </c>
    </row>
    <row r="54" spans="2:27" ht="15" customHeight="1">
      <c r="B54" s="97" t="s">
        <v>86</v>
      </c>
      <c r="C54" s="20">
        <v>1</v>
      </c>
      <c r="D54" s="20" t="s">
        <v>75</v>
      </c>
      <c r="E54" s="33">
        <v>36</v>
      </c>
      <c r="F54" s="140">
        <v>35</v>
      </c>
      <c r="G54" s="141">
        <v>79</v>
      </c>
      <c r="H54" s="140">
        <v>6</v>
      </c>
      <c r="I54" s="138">
        <v>17</v>
      </c>
      <c r="J54" s="138">
        <v>1</v>
      </c>
      <c r="K54" s="138">
        <v>9</v>
      </c>
      <c r="L54" s="71">
        <v>7</v>
      </c>
      <c r="M54" s="88">
        <v>26</v>
      </c>
      <c r="N54" s="142">
        <v>5</v>
      </c>
      <c r="O54" s="138"/>
      <c r="P54" s="138">
        <v>39</v>
      </c>
      <c r="Q54" s="141">
        <v>45</v>
      </c>
      <c r="R54" s="140">
        <v>236</v>
      </c>
      <c r="S54" s="143">
        <v>376</v>
      </c>
      <c r="T54" s="147">
        <v>38</v>
      </c>
      <c r="U54" s="151">
        <v>16</v>
      </c>
      <c r="V54" s="148">
        <v>234</v>
      </c>
      <c r="W54" s="152">
        <v>393</v>
      </c>
      <c r="X54" s="140">
        <v>2</v>
      </c>
      <c r="Y54" s="138">
        <v>2</v>
      </c>
      <c r="Z54" s="138">
        <v>13</v>
      </c>
      <c r="AA54" s="143">
        <v>13</v>
      </c>
    </row>
    <row r="55" spans="2:27" ht="15" customHeight="1">
      <c r="B55" s="97" t="s">
        <v>87</v>
      </c>
      <c r="C55" s="20"/>
      <c r="D55" s="20"/>
      <c r="E55" s="107">
        <v>37</v>
      </c>
      <c r="F55" s="140">
        <v>337</v>
      </c>
      <c r="G55" s="141">
        <v>649</v>
      </c>
      <c r="H55" s="140">
        <v>73</v>
      </c>
      <c r="I55" s="138">
        <v>152</v>
      </c>
      <c r="J55" s="138">
        <v>6</v>
      </c>
      <c r="K55" s="138">
        <v>23</v>
      </c>
      <c r="L55" s="71">
        <v>79</v>
      </c>
      <c r="M55" s="88">
        <v>175</v>
      </c>
      <c r="N55" s="142">
        <v>13</v>
      </c>
      <c r="O55" s="138"/>
      <c r="P55" s="138">
        <v>29</v>
      </c>
      <c r="Q55" s="141">
        <v>42</v>
      </c>
      <c r="R55" s="140">
        <v>1126</v>
      </c>
      <c r="S55" s="143">
        <v>1671</v>
      </c>
      <c r="T55" s="147">
        <v>232</v>
      </c>
      <c r="U55" s="151">
        <v>80</v>
      </c>
      <c r="V55" s="148">
        <v>935</v>
      </c>
      <c r="W55" s="152">
        <v>1576</v>
      </c>
      <c r="X55" s="140">
        <v>21</v>
      </c>
      <c r="Y55" s="138">
        <v>21</v>
      </c>
      <c r="Z55" s="138">
        <v>112</v>
      </c>
      <c r="AA55" s="143">
        <v>112</v>
      </c>
    </row>
    <row r="56" spans="2:27" ht="15" customHeight="1">
      <c r="B56" s="97" t="s">
        <v>88</v>
      </c>
      <c r="C56" s="20">
        <v>1</v>
      </c>
      <c r="D56" s="20" t="s">
        <v>75</v>
      </c>
      <c r="E56" s="33">
        <v>38</v>
      </c>
      <c r="F56" s="140">
        <v>16</v>
      </c>
      <c r="G56" s="141">
        <v>35</v>
      </c>
      <c r="H56" s="140">
        <v>7</v>
      </c>
      <c r="I56" s="138">
        <v>17</v>
      </c>
      <c r="J56" s="138"/>
      <c r="K56" s="138"/>
      <c r="L56" s="71">
        <v>7</v>
      </c>
      <c r="M56" s="88">
        <v>17</v>
      </c>
      <c r="N56" s="142">
        <v>1</v>
      </c>
      <c r="O56" s="138"/>
      <c r="P56" s="138">
        <v>9</v>
      </c>
      <c r="Q56" s="141">
        <v>10</v>
      </c>
      <c r="R56" s="140">
        <v>214</v>
      </c>
      <c r="S56" s="143">
        <v>292</v>
      </c>
      <c r="T56" s="147">
        <v>29</v>
      </c>
      <c r="U56" s="151">
        <v>18</v>
      </c>
      <c r="V56" s="148">
        <v>184</v>
      </c>
      <c r="W56" s="152">
        <v>272</v>
      </c>
      <c r="X56" s="140"/>
      <c r="Y56" s="138"/>
      <c r="Z56" s="138">
        <v>9</v>
      </c>
      <c r="AA56" s="143">
        <v>9</v>
      </c>
    </row>
    <row r="57" spans="2:27" ht="15" customHeight="1">
      <c r="B57" s="97" t="s">
        <v>89</v>
      </c>
      <c r="C57" s="20"/>
      <c r="D57" s="20"/>
      <c r="E57" s="107">
        <v>40</v>
      </c>
      <c r="F57" s="140">
        <v>27</v>
      </c>
      <c r="G57" s="141">
        <v>50</v>
      </c>
      <c r="H57" s="140">
        <v>8</v>
      </c>
      <c r="I57" s="138">
        <v>18</v>
      </c>
      <c r="J57" s="138"/>
      <c r="K57" s="138">
        <v>2</v>
      </c>
      <c r="L57" s="71">
        <v>8</v>
      </c>
      <c r="M57" s="88">
        <v>20</v>
      </c>
      <c r="N57" s="142">
        <v>2</v>
      </c>
      <c r="O57" s="138"/>
      <c r="P57" s="138">
        <v>3</v>
      </c>
      <c r="Q57" s="141">
        <v>5</v>
      </c>
      <c r="R57" s="140">
        <v>115</v>
      </c>
      <c r="S57" s="143">
        <v>206</v>
      </c>
      <c r="T57" s="147">
        <v>23</v>
      </c>
      <c r="U57" s="151">
        <v>12</v>
      </c>
      <c r="V57" s="148">
        <v>93</v>
      </c>
      <c r="W57" s="152">
        <v>196</v>
      </c>
      <c r="X57" s="140">
        <v>3</v>
      </c>
      <c r="Y57" s="138">
        <v>3</v>
      </c>
      <c r="Z57" s="138">
        <v>6</v>
      </c>
      <c r="AA57" s="143">
        <v>6</v>
      </c>
    </row>
    <row r="58" spans="2:27" ht="15" customHeight="1">
      <c r="B58" s="97" t="s">
        <v>90</v>
      </c>
      <c r="C58" s="20"/>
      <c r="D58" s="20"/>
      <c r="E58" s="33">
        <v>41</v>
      </c>
      <c r="F58" s="140">
        <v>36</v>
      </c>
      <c r="G58" s="141">
        <v>65</v>
      </c>
      <c r="H58" s="140">
        <v>12</v>
      </c>
      <c r="I58" s="138">
        <v>21</v>
      </c>
      <c r="J58" s="138"/>
      <c r="K58" s="138">
        <v>2</v>
      </c>
      <c r="L58" s="71">
        <v>12</v>
      </c>
      <c r="M58" s="88">
        <v>23</v>
      </c>
      <c r="N58" s="142">
        <v>2</v>
      </c>
      <c r="O58" s="138">
        <v>1</v>
      </c>
      <c r="P58" s="138">
        <v>16</v>
      </c>
      <c r="Q58" s="141">
        <v>20</v>
      </c>
      <c r="R58" s="140">
        <v>287</v>
      </c>
      <c r="S58" s="143">
        <v>474</v>
      </c>
      <c r="T58" s="147">
        <v>54</v>
      </c>
      <c r="U58" s="151">
        <v>30</v>
      </c>
      <c r="V58" s="148">
        <v>235</v>
      </c>
      <c r="W58" s="152">
        <v>433</v>
      </c>
      <c r="X58" s="140">
        <v>2</v>
      </c>
      <c r="Y58" s="138">
        <v>2</v>
      </c>
      <c r="Z58" s="138">
        <v>12</v>
      </c>
      <c r="AA58" s="143">
        <v>12</v>
      </c>
    </row>
    <row r="59" spans="2:27" ht="15" customHeight="1">
      <c r="B59" s="97" t="s">
        <v>91</v>
      </c>
      <c r="C59" s="20"/>
      <c r="D59" s="20"/>
      <c r="E59" s="33">
        <v>42</v>
      </c>
      <c r="F59" s="140">
        <v>63</v>
      </c>
      <c r="G59" s="141">
        <v>111</v>
      </c>
      <c r="H59" s="140">
        <v>16</v>
      </c>
      <c r="I59" s="138">
        <v>34</v>
      </c>
      <c r="J59" s="138">
        <v>1</v>
      </c>
      <c r="K59" s="138">
        <v>4</v>
      </c>
      <c r="L59" s="71">
        <v>17</v>
      </c>
      <c r="M59" s="88">
        <v>38</v>
      </c>
      <c r="N59" s="142">
        <v>11</v>
      </c>
      <c r="O59" s="138">
        <v>1</v>
      </c>
      <c r="P59" s="138">
        <v>44</v>
      </c>
      <c r="Q59" s="141">
        <v>57</v>
      </c>
      <c r="R59" s="140">
        <v>426</v>
      </c>
      <c r="S59" s="143">
        <v>700</v>
      </c>
      <c r="T59" s="147">
        <v>83</v>
      </c>
      <c r="U59" s="151">
        <v>32</v>
      </c>
      <c r="V59" s="148">
        <v>385</v>
      </c>
      <c r="W59" s="152">
        <v>680</v>
      </c>
      <c r="X59" s="140">
        <v>7</v>
      </c>
      <c r="Y59" s="138">
        <v>9</v>
      </c>
      <c r="Z59" s="138">
        <v>30</v>
      </c>
      <c r="AA59" s="143">
        <v>30</v>
      </c>
    </row>
    <row r="60" spans="2:27" ht="15" customHeight="1">
      <c r="B60" s="97" t="s">
        <v>92</v>
      </c>
      <c r="C60" s="20"/>
      <c r="D60" s="20"/>
      <c r="E60" s="107">
        <v>43</v>
      </c>
      <c r="F60" s="140">
        <v>1735</v>
      </c>
      <c r="G60" s="141">
        <v>3272</v>
      </c>
      <c r="H60" s="140">
        <v>482</v>
      </c>
      <c r="I60" s="138">
        <v>1029</v>
      </c>
      <c r="J60" s="138">
        <v>12</v>
      </c>
      <c r="K60" s="138">
        <v>46</v>
      </c>
      <c r="L60" s="71">
        <v>494</v>
      </c>
      <c r="M60" s="88">
        <v>1075</v>
      </c>
      <c r="N60" s="142">
        <v>100</v>
      </c>
      <c r="O60" s="138">
        <v>3</v>
      </c>
      <c r="P60" s="138">
        <v>262</v>
      </c>
      <c r="Q60" s="141">
        <v>366</v>
      </c>
      <c r="R60" s="140">
        <v>5234</v>
      </c>
      <c r="S60" s="143">
        <v>8252</v>
      </c>
      <c r="T60" s="147">
        <v>1032</v>
      </c>
      <c r="U60" s="151">
        <v>260</v>
      </c>
      <c r="V60" s="148">
        <v>4802</v>
      </c>
      <c r="W60" s="152">
        <v>8401</v>
      </c>
      <c r="X60" s="140">
        <v>99</v>
      </c>
      <c r="Y60" s="138">
        <v>101</v>
      </c>
      <c r="Z60" s="138">
        <v>423</v>
      </c>
      <c r="AA60" s="143">
        <v>423</v>
      </c>
    </row>
    <row r="61" spans="2:27" ht="15" customHeight="1">
      <c r="B61" s="97" t="s">
        <v>93</v>
      </c>
      <c r="C61" s="20"/>
      <c r="D61" s="20"/>
      <c r="E61" s="33">
        <v>44</v>
      </c>
      <c r="F61" s="140">
        <v>584</v>
      </c>
      <c r="G61" s="141">
        <v>957</v>
      </c>
      <c r="H61" s="140">
        <v>122</v>
      </c>
      <c r="I61" s="138">
        <v>246</v>
      </c>
      <c r="J61" s="138">
        <v>7</v>
      </c>
      <c r="K61" s="138">
        <v>27</v>
      </c>
      <c r="L61" s="71">
        <v>129</v>
      </c>
      <c r="M61" s="88">
        <v>273</v>
      </c>
      <c r="N61" s="142">
        <v>54</v>
      </c>
      <c r="O61" s="138">
        <v>1</v>
      </c>
      <c r="P61" s="138">
        <v>121</v>
      </c>
      <c r="Q61" s="141">
        <v>176</v>
      </c>
      <c r="R61" s="140">
        <v>1949</v>
      </c>
      <c r="S61" s="143">
        <v>2897</v>
      </c>
      <c r="T61" s="147">
        <v>419</v>
      </c>
      <c r="U61" s="151">
        <v>199</v>
      </c>
      <c r="V61" s="148">
        <v>1636</v>
      </c>
      <c r="W61" s="152">
        <v>2728</v>
      </c>
      <c r="X61" s="140">
        <v>29</v>
      </c>
      <c r="Y61" s="138">
        <v>30</v>
      </c>
      <c r="Z61" s="138">
        <v>206</v>
      </c>
      <c r="AA61" s="143">
        <v>206</v>
      </c>
    </row>
    <row r="62" spans="2:27" ht="15" customHeight="1">
      <c r="B62" s="97" t="s">
        <v>94</v>
      </c>
      <c r="C62" s="20"/>
      <c r="D62" s="20"/>
      <c r="E62" s="33">
        <v>45</v>
      </c>
      <c r="F62" s="140">
        <v>101</v>
      </c>
      <c r="G62" s="141">
        <v>180</v>
      </c>
      <c r="H62" s="140">
        <v>23</v>
      </c>
      <c r="I62" s="138">
        <v>47</v>
      </c>
      <c r="J62" s="138"/>
      <c r="K62" s="138">
        <v>4</v>
      </c>
      <c r="L62" s="71">
        <v>23</v>
      </c>
      <c r="M62" s="88">
        <v>51</v>
      </c>
      <c r="N62" s="142">
        <v>10</v>
      </c>
      <c r="O62" s="138"/>
      <c r="P62" s="138">
        <v>34</v>
      </c>
      <c r="Q62" s="141">
        <v>44</v>
      </c>
      <c r="R62" s="140">
        <v>600</v>
      </c>
      <c r="S62" s="143">
        <v>930</v>
      </c>
      <c r="T62" s="147">
        <v>120</v>
      </c>
      <c r="U62" s="151">
        <v>45</v>
      </c>
      <c r="V62" s="148">
        <v>502</v>
      </c>
      <c r="W62" s="152">
        <v>860</v>
      </c>
      <c r="X62" s="140">
        <v>9</v>
      </c>
      <c r="Y62" s="138">
        <v>9</v>
      </c>
      <c r="Z62" s="138">
        <v>30</v>
      </c>
      <c r="AA62" s="143">
        <v>30</v>
      </c>
    </row>
    <row r="63" spans="2:27" ht="15" customHeight="1">
      <c r="B63" s="97" t="s">
        <v>95</v>
      </c>
      <c r="C63" s="20"/>
      <c r="D63" s="20"/>
      <c r="E63" s="33">
        <v>47</v>
      </c>
      <c r="F63" s="140">
        <v>145</v>
      </c>
      <c r="G63" s="141">
        <v>275</v>
      </c>
      <c r="H63" s="140">
        <v>43</v>
      </c>
      <c r="I63" s="138">
        <v>91</v>
      </c>
      <c r="J63" s="138">
        <v>1</v>
      </c>
      <c r="K63" s="138">
        <v>4</v>
      </c>
      <c r="L63" s="71">
        <v>44</v>
      </c>
      <c r="M63" s="88">
        <v>95</v>
      </c>
      <c r="N63" s="142">
        <v>9</v>
      </c>
      <c r="O63" s="138">
        <v>1</v>
      </c>
      <c r="P63" s="138">
        <v>29</v>
      </c>
      <c r="Q63" s="141">
        <v>39</v>
      </c>
      <c r="R63" s="140">
        <v>762</v>
      </c>
      <c r="S63" s="143">
        <v>1118</v>
      </c>
      <c r="T63" s="147">
        <v>153</v>
      </c>
      <c r="U63" s="151">
        <v>50</v>
      </c>
      <c r="V63" s="148">
        <v>642</v>
      </c>
      <c r="W63" s="152">
        <v>1049</v>
      </c>
      <c r="X63" s="140">
        <v>7</v>
      </c>
      <c r="Y63" s="138">
        <v>7</v>
      </c>
      <c r="Z63" s="138">
        <v>29</v>
      </c>
      <c r="AA63" s="143">
        <v>29</v>
      </c>
    </row>
    <row r="64" spans="2:27" ht="15" customHeight="1">
      <c r="B64" s="97" t="s">
        <v>96</v>
      </c>
      <c r="C64" s="20">
        <v>1</v>
      </c>
      <c r="D64" s="20" t="s">
        <v>52</v>
      </c>
      <c r="E64" s="33">
        <v>39</v>
      </c>
      <c r="F64" s="140">
        <v>9</v>
      </c>
      <c r="G64" s="141">
        <v>16</v>
      </c>
      <c r="H64" s="140"/>
      <c r="I64" s="138"/>
      <c r="J64" s="138"/>
      <c r="K64" s="138"/>
      <c r="L64" s="71">
        <v>0</v>
      </c>
      <c r="M64" s="88">
        <v>0</v>
      </c>
      <c r="N64" s="142"/>
      <c r="O64" s="138"/>
      <c r="P64" s="138">
        <v>1</v>
      </c>
      <c r="Q64" s="141">
        <v>1</v>
      </c>
      <c r="R64" s="140">
        <v>35</v>
      </c>
      <c r="S64" s="143">
        <v>75</v>
      </c>
      <c r="T64" s="147">
        <v>4</v>
      </c>
      <c r="U64" s="151">
        <v>2</v>
      </c>
      <c r="V64" s="148">
        <v>30</v>
      </c>
      <c r="W64" s="152">
        <v>70</v>
      </c>
      <c r="X64" s="140"/>
      <c r="Y64" s="138"/>
      <c r="Z64" s="138">
        <v>4</v>
      </c>
      <c r="AA64" s="143">
        <v>4</v>
      </c>
    </row>
    <row r="65" spans="2:27" ht="15" customHeight="1">
      <c r="B65" s="97" t="s">
        <v>105</v>
      </c>
      <c r="C65" s="20">
        <v>1</v>
      </c>
      <c r="D65" s="20" t="s">
        <v>47</v>
      </c>
      <c r="E65" s="107">
        <v>46</v>
      </c>
      <c r="F65" s="140">
        <v>10</v>
      </c>
      <c r="G65" s="141">
        <v>14</v>
      </c>
      <c r="H65" s="140">
        <v>1</v>
      </c>
      <c r="I65" s="138">
        <v>1</v>
      </c>
      <c r="J65" s="138"/>
      <c r="K65" s="138"/>
      <c r="L65" s="71">
        <v>1</v>
      </c>
      <c r="M65" s="88">
        <v>1</v>
      </c>
      <c r="N65" s="142">
        <v>2</v>
      </c>
      <c r="O65" s="138"/>
      <c r="P65" s="138">
        <v>5</v>
      </c>
      <c r="Q65" s="141">
        <v>7</v>
      </c>
      <c r="R65" s="140">
        <v>68</v>
      </c>
      <c r="S65" s="143">
        <v>100</v>
      </c>
      <c r="T65" s="147">
        <v>12</v>
      </c>
      <c r="U65" s="151">
        <v>10</v>
      </c>
      <c r="V65" s="148">
        <v>54</v>
      </c>
      <c r="W65" s="152">
        <v>86</v>
      </c>
      <c r="X65" s="140">
        <v>2</v>
      </c>
      <c r="Y65" s="138">
        <v>2</v>
      </c>
      <c r="Z65" s="138">
        <v>5</v>
      </c>
      <c r="AA65" s="143">
        <v>5</v>
      </c>
    </row>
    <row r="66" spans="2:27" ht="15" customHeight="1">
      <c r="B66" s="97" t="s">
        <v>106</v>
      </c>
      <c r="C66" s="20"/>
      <c r="D66" s="20"/>
      <c r="E66" s="33">
        <v>48</v>
      </c>
      <c r="F66" s="140">
        <v>64</v>
      </c>
      <c r="G66" s="141">
        <v>107</v>
      </c>
      <c r="H66" s="140">
        <v>10</v>
      </c>
      <c r="I66" s="138">
        <v>25</v>
      </c>
      <c r="J66" s="138">
        <v>1</v>
      </c>
      <c r="K66" s="138">
        <v>6</v>
      </c>
      <c r="L66" s="71">
        <v>11</v>
      </c>
      <c r="M66" s="88">
        <v>31</v>
      </c>
      <c r="N66" s="142"/>
      <c r="O66" s="138"/>
      <c r="P66" s="138">
        <v>19</v>
      </c>
      <c r="Q66" s="141">
        <v>19</v>
      </c>
      <c r="R66" s="140">
        <v>302</v>
      </c>
      <c r="S66" s="143">
        <v>487</v>
      </c>
      <c r="T66" s="147">
        <v>49</v>
      </c>
      <c r="U66" s="151">
        <v>29</v>
      </c>
      <c r="V66" s="148">
        <v>254</v>
      </c>
      <c r="W66" s="152">
        <v>459</v>
      </c>
      <c r="X66" s="140">
        <v>6</v>
      </c>
      <c r="Y66" s="138">
        <v>7</v>
      </c>
      <c r="Z66" s="138">
        <v>28</v>
      </c>
      <c r="AA66" s="143">
        <v>28</v>
      </c>
    </row>
    <row r="67" spans="2:27" ht="15" customHeight="1">
      <c r="B67" s="97" t="s">
        <v>107</v>
      </c>
      <c r="C67" s="20"/>
      <c r="D67" s="20"/>
      <c r="E67" s="107">
        <v>49</v>
      </c>
      <c r="F67" s="140">
        <v>477</v>
      </c>
      <c r="G67" s="141">
        <v>958</v>
      </c>
      <c r="H67" s="140">
        <v>131</v>
      </c>
      <c r="I67" s="138">
        <v>286</v>
      </c>
      <c r="J67" s="138">
        <v>8</v>
      </c>
      <c r="K67" s="138">
        <v>33</v>
      </c>
      <c r="L67" s="71">
        <v>139</v>
      </c>
      <c r="M67" s="88">
        <v>319</v>
      </c>
      <c r="N67" s="142">
        <v>69</v>
      </c>
      <c r="O67" s="138"/>
      <c r="P67" s="138">
        <v>99</v>
      </c>
      <c r="Q67" s="141">
        <v>169</v>
      </c>
      <c r="R67" s="140">
        <v>2203</v>
      </c>
      <c r="S67" s="143">
        <v>3504</v>
      </c>
      <c r="T67" s="147">
        <v>455</v>
      </c>
      <c r="U67" s="151">
        <v>167</v>
      </c>
      <c r="V67" s="148">
        <v>1889</v>
      </c>
      <c r="W67" s="152">
        <v>3370</v>
      </c>
      <c r="X67" s="140">
        <v>23</v>
      </c>
      <c r="Y67" s="138">
        <v>23</v>
      </c>
      <c r="Z67" s="138">
        <v>99</v>
      </c>
      <c r="AA67" s="143">
        <v>99</v>
      </c>
    </row>
    <row r="68" spans="2:27" ht="15" customHeight="1">
      <c r="B68" s="97" t="s">
        <v>108</v>
      </c>
      <c r="C68" s="20">
        <v>1</v>
      </c>
      <c r="D68" s="20" t="s">
        <v>75</v>
      </c>
      <c r="E68" s="33">
        <v>50</v>
      </c>
      <c r="F68" s="140">
        <v>28</v>
      </c>
      <c r="G68" s="141">
        <v>54</v>
      </c>
      <c r="H68" s="140">
        <v>2</v>
      </c>
      <c r="I68" s="138">
        <v>6</v>
      </c>
      <c r="J68" s="138"/>
      <c r="K68" s="138"/>
      <c r="L68" s="71">
        <v>2</v>
      </c>
      <c r="M68" s="88">
        <v>6</v>
      </c>
      <c r="N68" s="142">
        <v>22</v>
      </c>
      <c r="O68" s="138"/>
      <c r="P68" s="138">
        <v>66</v>
      </c>
      <c r="Q68" s="141">
        <v>89</v>
      </c>
      <c r="R68" s="140">
        <v>200</v>
      </c>
      <c r="S68" s="143">
        <v>300</v>
      </c>
      <c r="T68" s="147">
        <v>77</v>
      </c>
      <c r="U68" s="151">
        <v>25</v>
      </c>
      <c r="V68" s="148">
        <v>189</v>
      </c>
      <c r="W68" s="152">
        <v>293</v>
      </c>
      <c r="X68" s="140">
        <v>2</v>
      </c>
      <c r="Y68" s="138">
        <v>2</v>
      </c>
      <c r="Z68" s="138">
        <v>12</v>
      </c>
      <c r="AA68" s="143">
        <v>12</v>
      </c>
    </row>
    <row r="69" spans="2:27" ht="15" customHeight="1">
      <c r="B69" s="97" t="s">
        <v>109</v>
      </c>
      <c r="C69" s="20" t="s">
        <v>63</v>
      </c>
      <c r="D69" s="20"/>
      <c r="E69" s="33">
        <v>51</v>
      </c>
      <c r="F69" s="140">
        <v>185</v>
      </c>
      <c r="G69" s="141">
        <v>291</v>
      </c>
      <c r="H69" s="140">
        <v>32</v>
      </c>
      <c r="I69" s="138">
        <v>64</v>
      </c>
      <c r="J69" s="138">
        <v>1</v>
      </c>
      <c r="K69" s="138">
        <v>4</v>
      </c>
      <c r="L69" s="71">
        <v>33</v>
      </c>
      <c r="M69" s="88">
        <v>68</v>
      </c>
      <c r="N69" s="142">
        <v>12</v>
      </c>
      <c r="O69" s="138"/>
      <c r="P69" s="138">
        <v>50</v>
      </c>
      <c r="Q69" s="141">
        <v>63</v>
      </c>
      <c r="R69" s="140">
        <v>1772</v>
      </c>
      <c r="S69" s="143">
        <v>2252</v>
      </c>
      <c r="T69" s="147">
        <v>365</v>
      </c>
      <c r="U69" s="151">
        <v>162</v>
      </c>
      <c r="V69" s="148">
        <v>1341</v>
      </c>
      <c r="W69" s="152">
        <v>1856</v>
      </c>
      <c r="X69" s="140">
        <v>19</v>
      </c>
      <c r="Y69" s="138">
        <v>22</v>
      </c>
      <c r="Z69" s="138">
        <v>82</v>
      </c>
      <c r="AA69" s="143">
        <v>82</v>
      </c>
    </row>
    <row r="70" spans="2:27" ht="15" customHeight="1">
      <c r="B70" s="97" t="s">
        <v>110</v>
      </c>
      <c r="C70" s="20"/>
      <c r="D70" s="20"/>
      <c r="E70" s="107">
        <v>52</v>
      </c>
      <c r="F70" s="140">
        <v>178</v>
      </c>
      <c r="G70" s="141">
        <v>257</v>
      </c>
      <c r="H70" s="140">
        <v>21</v>
      </c>
      <c r="I70" s="138">
        <v>47</v>
      </c>
      <c r="J70" s="138"/>
      <c r="K70" s="138">
        <v>1</v>
      </c>
      <c r="L70" s="71">
        <v>21</v>
      </c>
      <c r="M70" s="88">
        <v>48</v>
      </c>
      <c r="N70" s="142">
        <v>35</v>
      </c>
      <c r="O70" s="138">
        <v>2</v>
      </c>
      <c r="P70" s="138">
        <v>119</v>
      </c>
      <c r="Q70" s="141">
        <v>157</v>
      </c>
      <c r="R70" s="140">
        <v>833</v>
      </c>
      <c r="S70" s="143">
        <v>1089</v>
      </c>
      <c r="T70" s="147">
        <v>243</v>
      </c>
      <c r="U70" s="151">
        <v>70</v>
      </c>
      <c r="V70" s="148">
        <v>698</v>
      </c>
      <c r="W70" s="152">
        <v>981</v>
      </c>
      <c r="X70" s="140">
        <v>9</v>
      </c>
      <c r="Y70" s="138">
        <v>9</v>
      </c>
      <c r="Z70" s="138">
        <v>39</v>
      </c>
      <c r="AA70" s="143">
        <v>39</v>
      </c>
    </row>
    <row r="71" spans="2:27" ht="15" customHeight="1">
      <c r="B71" s="97" t="s">
        <v>111</v>
      </c>
      <c r="C71" s="20">
        <v>1</v>
      </c>
      <c r="D71" s="20" t="s">
        <v>47</v>
      </c>
      <c r="E71" s="33">
        <v>53</v>
      </c>
      <c r="F71" s="140">
        <v>8</v>
      </c>
      <c r="G71" s="141">
        <v>13</v>
      </c>
      <c r="H71" s="140">
        <v>1</v>
      </c>
      <c r="I71" s="138">
        <v>4</v>
      </c>
      <c r="J71" s="138"/>
      <c r="K71" s="138"/>
      <c r="L71" s="71">
        <v>1</v>
      </c>
      <c r="M71" s="88">
        <v>4</v>
      </c>
      <c r="N71" s="142"/>
      <c r="O71" s="138"/>
      <c r="P71" s="138">
        <v>5</v>
      </c>
      <c r="Q71" s="141">
        <v>5</v>
      </c>
      <c r="R71" s="140">
        <v>56</v>
      </c>
      <c r="S71" s="143">
        <v>83</v>
      </c>
      <c r="T71" s="147">
        <v>15</v>
      </c>
      <c r="U71" s="151"/>
      <c r="V71" s="148">
        <v>47</v>
      </c>
      <c r="W71" s="152">
        <v>77</v>
      </c>
      <c r="X71" s="140">
        <v>1</v>
      </c>
      <c r="Y71" s="138">
        <v>1</v>
      </c>
      <c r="Z71" s="138">
        <v>3</v>
      </c>
      <c r="AA71" s="143">
        <v>3</v>
      </c>
    </row>
    <row r="72" spans="2:27" ht="15" customHeight="1">
      <c r="B72" s="97" t="s">
        <v>112</v>
      </c>
      <c r="C72" s="20"/>
      <c r="D72" s="20"/>
      <c r="E72" s="33">
        <v>54</v>
      </c>
      <c r="F72" s="140">
        <v>122</v>
      </c>
      <c r="G72" s="141">
        <v>199</v>
      </c>
      <c r="H72" s="140">
        <v>23</v>
      </c>
      <c r="I72" s="138">
        <v>45</v>
      </c>
      <c r="J72" s="138"/>
      <c r="K72" s="138"/>
      <c r="L72" s="71">
        <v>23</v>
      </c>
      <c r="M72" s="88">
        <v>45</v>
      </c>
      <c r="N72" s="142">
        <v>25</v>
      </c>
      <c r="O72" s="138">
        <v>1</v>
      </c>
      <c r="P72" s="138">
        <v>46</v>
      </c>
      <c r="Q72" s="141">
        <v>73</v>
      </c>
      <c r="R72" s="140">
        <v>841</v>
      </c>
      <c r="S72" s="143">
        <v>1187</v>
      </c>
      <c r="T72" s="147">
        <v>204</v>
      </c>
      <c r="U72" s="151">
        <v>71</v>
      </c>
      <c r="V72" s="148">
        <v>662</v>
      </c>
      <c r="W72" s="152">
        <v>1030</v>
      </c>
      <c r="X72" s="140">
        <v>10</v>
      </c>
      <c r="Y72" s="138">
        <v>10</v>
      </c>
      <c r="Z72" s="138">
        <v>54</v>
      </c>
      <c r="AA72" s="143">
        <v>54</v>
      </c>
    </row>
    <row r="73" spans="2:27" ht="15" customHeight="1">
      <c r="B73" s="97" t="s">
        <v>113</v>
      </c>
      <c r="C73" s="20">
        <v>1</v>
      </c>
      <c r="D73" s="20" t="s">
        <v>52</v>
      </c>
      <c r="E73" s="107">
        <v>55</v>
      </c>
      <c r="F73" s="140">
        <v>15</v>
      </c>
      <c r="G73" s="141">
        <v>32</v>
      </c>
      <c r="H73" s="140">
        <v>3</v>
      </c>
      <c r="I73" s="138">
        <v>5</v>
      </c>
      <c r="J73" s="138"/>
      <c r="K73" s="138"/>
      <c r="L73" s="71">
        <v>3</v>
      </c>
      <c r="M73" s="88">
        <v>5</v>
      </c>
      <c r="N73" s="142">
        <v>1</v>
      </c>
      <c r="O73" s="138"/>
      <c r="P73" s="138">
        <v>7</v>
      </c>
      <c r="Q73" s="141">
        <v>9</v>
      </c>
      <c r="R73" s="140">
        <v>59</v>
      </c>
      <c r="S73" s="143">
        <v>117</v>
      </c>
      <c r="T73" s="147">
        <v>11</v>
      </c>
      <c r="U73" s="151">
        <v>4</v>
      </c>
      <c r="V73" s="148">
        <v>56</v>
      </c>
      <c r="W73" s="152">
        <v>116</v>
      </c>
      <c r="X73" s="140">
        <v>1</v>
      </c>
      <c r="Y73" s="138">
        <v>1</v>
      </c>
      <c r="Z73" s="138">
        <v>6</v>
      </c>
      <c r="AA73" s="143">
        <v>6</v>
      </c>
    </row>
    <row r="74" spans="2:27" ht="15" customHeight="1">
      <c r="B74" s="97" t="s">
        <v>114</v>
      </c>
      <c r="C74" s="20"/>
      <c r="D74" s="20"/>
      <c r="E74" s="33">
        <v>56</v>
      </c>
      <c r="F74" s="140">
        <v>29</v>
      </c>
      <c r="G74" s="141">
        <v>43</v>
      </c>
      <c r="H74" s="140">
        <v>4</v>
      </c>
      <c r="I74" s="138">
        <v>7</v>
      </c>
      <c r="J74" s="138"/>
      <c r="K74" s="138">
        <v>2</v>
      </c>
      <c r="L74" s="71">
        <v>4</v>
      </c>
      <c r="M74" s="88">
        <v>9</v>
      </c>
      <c r="N74" s="142"/>
      <c r="O74" s="138">
        <v>1</v>
      </c>
      <c r="P74" s="138">
        <v>6</v>
      </c>
      <c r="Q74" s="141">
        <v>7</v>
      </c>
      <c r="R74" s="140">
        <v>280</v>
      </c>
      <c r="S74" s="143">
        <v>402</v>
      </c>
      <c r="T74" s="147">
        <v>64</v>
      </c>
      <c r="U74" s="151">
        <v>21</v>
      </c>
      <c r="V74" s="148">
        <v>206</v>
      </c>
      <c r="W74" s="152">
        <v>333</v>
      </c>
      <c r="X74" s="140">
        <v>2</v>
      </c>
      <c r="Y74" s="138">
        <v>2</v>
      </c>
      <c r="Z74" s="138">
        <v>15</v>
      </c>
      <c r="AA74" s="143">
        <v>15</v>
      </c>
    </row>
    <row r="75" spans="2:27" ht="15" customHeight="1">
      <c r="B75" s="97" t="s">
        <v>115</v>
      </c>
      <c r="C75" s="20" t="s">
        <v>63</v>
      </c>
      <c r="D75" s="20"/>
      <c r="E75" s="33">
        <v>57</v>
      </c>
      <c r="F75" s="140">
        <v>196</v>
      </c>
      <c r="G75" s="141">
        <v>321</v>
      </c>
      <c r="H75" s="140">
        <v>38</v>
      </c>
      <c r="I75" s="138">
        <v>75</v>
      </c>
      <c r="J75" s="138">
        <v>1</v>
      </c>
      <c r="K75" s="138">
        <v>5</v>
      </c>
      <c r="L75" s="71">
        <v>39</v>
      </c>
      <c r="M75" s="88">
        <v>80</v>
      </c>
      <c r="N75" s="142">
        <v>67</v>
      </c>
      <c r="O75" s="138"/>
      <c r="P75" s="138">
        <v>67</v>
      </c>
      <c r="Q75" s="141">
        <v>134</v>
      </c>
      <c r="R75" s="140">
        <v>1496</v>
      </c>
      <c r="S75" s="143">
        <v>1927</v>
      </c>
      <c r="T75" s="147">
        <v>331</v>
      </c>
      <c r="U75" s="151">
        <v>117</v>
      </c>
      <c r="V75" s="148">
        <v>1221</v>
      </c>
      <c r="W75" s="152">
        <v>1693</v>
      </c>
      <c r="X75" s="140">
        <v>16</v>
      </c>
      <c r="Y75" s="138">
        <v>17</v>
      </c>
      <c r="Z75" s="138">
        <v>42</v>
      </c>
      <c r="AA75" s="143">
        <v>42</v>
      </c>
    </row>
    <row r="76" spans="2:27" ht="15" customHeight="1">
      <c r="B76" s="97" t="s">
        <v>116</v>
      </c>
      <c r="C76" s="20"/>
      <c r="D76" s="20"/>
      <c r="E76" s="107">
        <v>58</v>
      </c>
      <c r="F76" s="140">
        <v>209</v>
      </c>
      <c r="G76" s="141">
        <v>371</v>
      </c>
      <c r="H76" s="140">
        <v>39</v>
      </c>
      <c r="I76" s="138">
        <v>66</v>
      </c>
      <c r="J76" s="138">
        <v>6</v>
      </c>
      <c r="K76" s="138">
        <v>16</v>
      </c>
      <c r="L76" s="71">
        <v>45</v>
      </c>
      <c r="M76" s="88">
        <v>82</v>
      </c>
      <c r="N76" s="142">
        <v>11</v>
      </c>
      <c r="O76" s="138">
        <v>1</v>
      </c>
      <c r="P76" s="138">
        <v>38</v>
      </c>
      <c r="Q76" s="141">
        <v>51</v>
      </c>
      <c r="R76" s="140">
        <v>729</v>
      </c>
      <c r="S76" s="143">
        <v>1174</v>
      </c>
      <c r="T76" s="147">
        <v>142</v>
      </c>
      <c r="U76" s="151">
        <v>51</v>
      </c>
      <c r="V76" s="148">
        <v>632</v>
      </c>
      <c r="W76" s="152">
        <v>1114</v>
      </c>
      <c r="X76" s="140">
        <v>21</v>
      </c>
      <c r="Y76" s="138">
        <v>21</v>
      </c>
      <c r="Z76" s="138">
        <v>47</v>
      </c>
      <c r="AA76" s="143">
        <v>47</v>
      </c>
    </row>
    <row r="77" spans="2:27" ht="15" customHeight="1">
      <c r="B77" s="97" t="s">
        <v>117</v>
      </c>
      <c r="C77" s="20"/>
      <c r="D77" s="20"/>
      <c r="E77" s="33">
        <v>59</v>
      </c>
      <c r="F77" s="140">
        <v>597</v>
      </c>
      <c r="G77" s="141">
        <v>1165</v>
      </c>
      <c r="H77" s="140">
        <v>164</v>
      </c>
      <c r="I77" s="138">
        <v>348</v>
      </c>
      <c r="J77" s="138">
        <v>11</v>
      </c>
      <c r="K77" s="138">
        <v>38</v>
      </c>
      <c r="L77" s="71">
        <v>175</v>
      </c>
      <c r="M77" s="88">
        <v>386</v>
      </c>
      <c r="N77" s="142">
        <v>62</v>
      </c>
      <c r="O77" s="138">
        <v>1</v>
      </c>
      <c r="P77" s="138">
        <v>104</v>
      </c>
      <c r="Q77" s="141">
        <v>167</v>
      </c>
      <c r="R77" s="140">
        <v>2007</v>
      </c>
      <c r="S77" s="143">
        <v>3105</v>
      </c>
      <c r="T77" s="147">
        <v>384</v>
      </c>
      <c r="U77" s="151">
        <v>135</v>
      </c>
      <c r="V77" s="148">
        <v>1830</v>
      </c>
      <c r="W77" s="152">
        <v>3139</v>
      </c>
      <c r="X77" s="140">
        <v>21</v>
      </c>
      <c r="Y77" s="138">
        <v>21</v>
      </c>
      <c r="Z77" s="138">
        <v>107</v>
      </c>
      <c r="AA77" s="143">
        <v>107</v>
      </c>
    </row>
    <row r="78" spans="2:27" ht="15" customHeight="1">
      <c r="B78" s="97" t="s">
        <v>118</v>
      </c>
      <c r="C78" s="20"/>
      <c r="D78" s="20"/>
      <c r="E78" s="33">
        <v>60</v>
      </c>
      <c r="F78" s="140">
        <v>83</v>
      </c>
      <c r="G78" s="141">
        <v>127</v>
      </c>
      <c r="H78" s="140">
        <v>19</v>
      </c>
      <c r="I78" s="138">
        <v>41</v>
      </c>
      <c r="J78" s="138">
        <v>2</v>
      </c>
      <c r="K78" s="138">
        <v>6</v>
      </c>
      <c r="L78" s="71">
        <v>21</v>
      </c>
      <c r="M78" s="88">
        <v>47</v>
      </c>
      <c r="N78" s="142">
        <v>13</v>
      </c>
      <c r="O78" s="138"/>
      <c r="P78" s="138">
        <v>28</v>
      </c>
      <c r="Q78" s="141">
        <v>41</v>
      </c>
      <c r="R78" s="140">
        <v>666</v>
      </c>
      <c r="S78" s="143">
        <v>868</v>
      </c>
      <c r="T78" s="147">
        <v>153</v>
      </c>
      <c r="U78" s="151">
        <v>86</v>
      </c>
      <c r="V78" s="148">
        <v>489</v>
      </c>
      <c r="W78" s="152">
        <v>717</v>
      </c>
      <c r="X78" s="140">
        <v>4</v>
      </c>
      <c r="Y78" s="138">
        <v>5</v>
      </c>
      <c r="Z78" s="138">
        <v>30</v>
      </c>
      <c r="AA78" s="143">
        <v>30</v>
      </c>
    </row>
    <row r="79" spans="2:27" ht="15" customHeight="1">
      <c r="B79" s="97" t="s">
        <v>119</v>
      </c>
      <c r="C79" s="20"/>
      <c r="D79" s="20"/>
      <c r="E79" s="107">
        <v>61</v>
      </c>
      <c r="F79" s="140">
        <v>33</v>
      </c>
      <c r="G79" s="141">
        <v>54</v>
      </c>
      <c r="H79" s="140">
        <v>7</v>
      </c>
      <c r="I79" s="138">
        <v>9</v>
      </c>
      <c r="J79" s="138">
        <v>1</v>
      </c>
      <c r="K79" s="138">
        <v>2</v>
      </c>
      <c r="L79" s="71">
        <v>8</v>
      </c>
      <c r="M79" s="88">
        <v>11</v>
      </c>
      <c r="N79" s="142">
        <v>7</v>
      </c>
      <c r="O79" s="138"/>
      <c r="P79" s="138">
        <v>18</v>
      </c>
      <c r="Q79" s="141">
        <v>25</v>
      </c>
      <c r="R79" s="140">
        <v>159</v>
      </c>
      <c r="S79" s="143">
        <v>264</v>
      </c>
      <c r="T79" s="147">
        <v>34</v>
      </c>
      <c r="U79" s="151">
        <v>17</v>
      </c>
      <c r="V79" s="148">
        <v>141</v>
      </c>
      <c r="W79" s="152">
        <v>249</v>
      </c>
      <c r="X79" s="140">
        <v>4</v>
      </c>
      <c r="Y79" s="138">
        <v>4</v>
      </c>
      <c r="Z79" s="138">
        <v>13</v>
      </c>
      <c r="AA79" s="143">
        <v>13</v>
      </c>
    </row>
    <row r="80" spans="2:27" ht="15" customHeight="1">
      <c r="B80" s="97" t="s">
        <v>120</v>
      </c>
      <c r="C80" s="20" t="s">
        <v>63</v>
      </c>
      <c r="D80" s="20"/>
      <c r="E80" s="33">
        <v>62</v>
      </c>
      <c r="F80" s="140">
        <v>893</v>
      </c>
      <c r="G80" s="141">
        <v>1568</v>
      </c>
      <c r="H80" s="140">
        <v>247</v>
      </c>
      <c r="I80" s="138">
        <v>487</v>
      </c>
      <c r="J80" s="138">
        <v>8</v>
      </c>
      <c r="K80" s="138">
        <v>31</v>
      </c>
      <c r="L80" s="71">
        <v>255</v>
      </c>
      <c r="M80" s="88">
        <v>518</v>
      </c>
      <c r="N80" s="142">
        <v>84</v>
      </c>
      <c r="O80" s="138">
        <v>2</v>
      </c>
      <c r="P80" s="138">
        <v>206</v>
      </c>
      <c r="Q80" s="141">
        <v>293</v>
      </c>
      <c r="R80" s="140">
        <v>3436</v>
      </c>
      <c r="S80" s="143">
        <v>4834</v>
      </c>
      <c r="T80" s="147">
        <v>684</v>
      </c>
      <c r="U80" s="151">
        <v>322</v>
      </c>
      <c r="V80" s="148">
        <v>2978</v>
      </c>
      <c r="W80" s="152">
        <v>4639</v>
      </c>
      <c r="X80" s="140">
        <v>44</v>
      </c>
      <c r="Y80" s="138">
        <v>47</v>
      </c>
      <c r="Z80" s="138">
        <v>262</v>
      </c>
      <c r="AA80" s="143">
        <v>263</v>
      </c>
    </row>
    <row r="81" spans="2:27" ht="15" customHeight="1">
      <c r="B81" s="97" t="s">
        <v>121</v>
      </c>
      <c r="C81" s="20">
        <v>1</v>
      </c>
      <c r="D81" s="20" t="s">
        <v>47</v>
      </c>
      <c r="E81" s="33">
        <v>63</v>
      </c>
      <c r="F81" s="140">
        <v>15</v>
      </c>
      <c r="G81" s="141">
        <v>25</v>
      </c>
      <c r="H81" s="140">
        <v>3</v>
      </c>
      <c r="I81" s="138">
        <v>5</v>
      </c>
      <c r="J81" s="138"/>
      <c r="K81" s="138">
        <v>1</v>
      </c>
      <c r="L81" s="71">
        <v>3</v>
      </c>
      <c r="M81" s="88">
        <v>6</v>
      </c>
      <c r="N81" s="142"/>
      <c r="O81" s="138"/>
      <c r="P81" s="138">
        <v>6</v>
      </c>
      <c r="Q81" s="141">
        <v>6</v>
      </c>
      <c r="R81" s="140">
        <v>87</v>
      </c>
      <c r="S81" s="143">
        <v>174</v>
      </c>
      <c r="T81" s="147">
        <v>11</v>
      </c>
      <c r="U81" s="151">
        <v>7</v>
      </c>
      <c r="V81" s="148">
        <v>78</v>
      </c>
      <c r="W81" s="152">
        <v>168</v>
      </c>
      <c r="X81" s="140"/>
      <c r="Y81" s="138"/>
      <c r="Z81" s="138">
        <v>4</v>
      </c>
      <c r="AA81" s="143">
        <v>4</v>
      </c>
    </row>
    <row r="82" spans="2:27" ht="15" customHeight="1">
      <c r="B82" s="97" t="s">
        <v>122</v>
      </c>
      <c r="C82" s="20" t="s">
        <v>63</v>
      </c>
      <c r="D82" s="20"/>
      <c r="E82" s="107">
        <v>64</v>
      </c>
      <c r="F82" s="140">
        <v>16680</v>
      </c>
      <c r="G82" s="141">
        <v>32229</v>
      </c>
      <c r="H82" s="140">
        <v>3883</v>
      </c>
      <c r="I82" s="138">
        <v>8810</v>
      </c>
      <c r="J82" s="138">
        <v>203</v>
      </c>
      <c r="K82" s="138">
        <v>739</v>
      </c>
      <c r="L82" s="71">
        <v>4086</v>
      </c>
      <c r="M82" s="88">
        <v>9549</v>
      </c>
      <c r="N82" s="142">
        <v>717</v>
      </c>
      <c r="O82" s="138">
        <v>10</v>
      </c>
      <c r="P82" s="138">
        <v>1677</v>
      </c>
      <c r="Q82" s="141">
        <v>2405</v>
      </c>
      <c r="R82" s="140">
        <v>22784</v>
      </c>
      <c r="S82" s="143">
        <v>37973</v>
      </c>
      <c r="T82" s="147">
        <v>3907</v>
      </c>
      <c r="U82" s="151">
        <v>449</v>
      </c>
      <c r="V82" s="148">
        <v>24919</v>
      </c>
      <c r="W82" s="152">
        <v>45571</v>
      </c>
      <c r="X82" s="140">
        <v>807</v>
      </c>
      <c r="Y82" s="138">
        <v>814</v>
      </c>
      <c r="Z82" s="138">
        <v>5200</v>
      </c>
      <c r="AA82" s="143">
        <v>5205</v>
      </c>
    </row>
    <row r="83" spans="2:27" ht="15" customHeight="1">
      <c r="B83" s="97" t="s">
        <v>123</v>
      </c>
      <c r="C83" s="20">
        <v>1</v>
      </c>
      <c r="D83" s="20" t="s">
        <v>52</v>
      </c>
      <c r="E83" s="33">
        <v>65</v>
      </c>
      <c r="F83" s="140">
        <v>3</v>
      </c>
      <c r="G83" s="141">
        <v>4</v>
      </c>
      <c r="H83" s="140"/>
      <c r="I83" s="138"/>
      <c r="J83" s="138"/>
      <c r="K83" s="138"/>
      <c r="L83" s="71">
        <v>0</v>
      </c>
      <c r="M83" s="88">
        <v>0</v>
      </c>
      <c r="N83" s="142"/>
      <c r="O83" s="138"/>
      <c r="P83" s="138">
        <v>9</v>
      </c>
      <c r="Q83" s="141">
        <v>10</v>
      </c>
      <c r="R83" s="140">
        <v>46</v>
      </c>
      <c r="S83" s="143">
        <v>79</v>
      </c>
      <c r="T83" s="147">
        <v>9</v>
      </c>
      <c r="U83" s="151">
        <v>2</v>
      </c>
      <c r="V83" s="148">
        <v>45</v>
      </c>
      <c r="W83" s="152">
        <v>78</v>
      </c>
      <c r="X83" s="140">
        <v>1</v>
      </c>
      <c r="Y83" s="138">
        <v>1</v>
      </c>
      <c r="Z83" s="138">
        <v>3</v>
      </c>
      <c r="AA83" s="143">
        <v>3</v>
      </c>
    </row>
    <row r="84" spans="2:27" ht="15" customHeight="1">
      <c r="B84" s="97" t="s">
        <v>124</v>
      </c>
      <c r="C84" s="20">
        <v>1</v>
      </c>
      <c r="D84" s="20" t="s">
        <v>52</v>
      </c>
      <c r="E84" s="33">
        <v>66</v>
      </c>
      <c r="F84" s="140">
        <v>14</v>
      </c>
      <c r="G84" s="141">
        <v>23</v>
      </c>
      <c r="H84" s="140">
        <v>5</v>
      </c>
      <c r="I84" s="138">
        <v>8</v>
      </c>
      <c r="J84" s="138"/>
      <c r="K84" s="138"/>
      <c r="L84" s="71">
        <v>5</v>
      </c>
      <c r="M84" s="88">
        <v>8</v>
      </c>
      <c r="N84" s="142">
        <v>3</v>
      </c>
      <c r="O84" s="138"/>
      <c r="P84" s="138">
        <v>15</v>
      </c>
      <c r="Q84" s="141">
        <v>18</v>
      </c>
      <c r="R84" s="140">
        <v>121</v>
      </c>
      <c r="S84" s="143">
        <v>195</v>
      </c>
      <c r="T84" s="147">
        <v>23</v>
      </c>
      <c r="U84" s="151">
        <v>17</v>
      </c>
      <c r="V84" s="148">
        <v>104</v>
      </c>
      <c r="W84" s="152">
        <v>181</v>
      </c>
      <c r="X84" s="140">
        <v>1</v>
      </c>
      <c r="Y84" s="138">
        <v>1</v>
      </c>
      <c r="Z84" s="138">
        <v>6</v>
      </c>
      <c r="AA84" s="143">
        <v>6</v>
      </c>
    </row>
    <row r="85" spans="2:27" ht="15" customHeight="1">
      <c r="B85" s="97" t="s">
        <v>125</v>
      </c>
      <c r="C85" s="20"/>
      <c r="D85" s="20"/>
      <c r="E85" s="107">
        <v>67</v>
      </c>
      <c r="F85" s="140">
        <v>13</v>
      </c>
      <c r="G85" s="141">
        <v>29</v>
      </c>
      <c r="H85" s="140">
        <v>5</v>
      </c>
      <c r="I85" s="138">
        <v>9</v>
      </c>
      <c r="J85" s="138"/>
      <c r="K85" s="138">
        <v>1</v>
      </c>
      <c r="L85" s="71">
        <v>5</v>
      </c>
      <c r="M85" s="88">
        <v>10</v>
      </c>
      <c r="N85" s="142">
        <v>4</v>
      </c>
      <c r="O85" s="138"/>
      <c r="P85" s="138">
        <v>18</v>
      </c>
      <c r="Q85" s="141">
        <v>22</v>
      </c>
      <c r="R85" s="140">
        <v>154</v>
      </c>
      <c r="S85" s="143">
        <v>285</v>
      </c>
      <c r="T85" s="147">
        <v>24</v>
      </c>
      <c r="U85" s="151">
        <v>12</v>
      </c>
      <c r="V85" s="148">
        <v>145</v>
      </c>
      <c r="W85" s="152">
        <v>281</v>
      </c>
      <c r="X85" s="140">
        <v>2</v>
      </c>
      <c r="Y85" s="138">
        <v>2</v>
      </c>
      <c r="Z85" s="138">
        <v>8</v>
      </c>
      <c r="AA85" s="143">
        <v>8</v>
      </c>
    </row>
    <row r="86" spans="2:27" ht="15" customHeight="1">
      <c r="B86" s="97" t="s">
        <v>126</v>
      </c>
      <c r="C86" s="20">
        <v>1</v>
      </c>
      <c r="D86" s="20" t="s">
        <v>52</v>
      </c>
      <c r="E86" s="33">
        <v>68</v>
      </c>
      <c r="F86" s="140">
        <v>16</v>
      </c>
      <c r="G86" s="141">
        <v>20</v>
      </c>
      <c r="H86" s="140">
        <v>1</v>
      </c>
      <c r="I86" s="138">
        <v>2</v>
      </c>
      <c r="J86" s="138"/>
      <c r="K86" s="138"/>
      <c r="L86" s="71">
        <v>1</v>
      </c>
      <c r="M86" s="88">
        <v>2</v>
      </c>
      <c r="N86" s="142">
        <v>5</v>
      </c>
      <c r="O86" s="138"/>
      <c r="P86" s="138">
        <v>4</v>
      </c>
      <c r="Q86" s="141">
        <v>10</v>
      </c>
      <c r="R86" s="140">
        <v>151</v>
      </c>
      <c r="S86" s="143">
        <v>225</v>
      </c>
      <c r="T86" s="147">
        <v>25</v>
      </c>
      <c r="U86" s="151">
        <v>20</v>
      </c>
      <c r="V86" s="148">
        <v>117</v>
      </c>
      <c r="W86" s="152">
        <v>192</v>
      </c>
      <c r="X86" s="140"/>
      <c r="Y86" s="138"/>
      <c r="Z86" s="138">
        <v>8</v>
      </c>
      <c r="AA86" s="143">
        <v>8</v>
      </c>
    </row>
    <row r="87" spans="2:27" ht="15" customHeight="1">
      <c r="B87" s="97" t="s">
        <v>127</v>
      </c>
      <c r="C87" s="20"/>
      <c r="D87" s="20"/>
      <c r="E87" s="33">
        <v>69</v>
      </c>
      <c r="F87" s="140">
        <v>603</v>
      </c>
      <c r="G87" s="141">
        <v>1162</v>
      </c>
      <c r="H87" s="140">
        <v>131</v>
      </c>
      <c r="I87" s="138">
        <v>260</v>
      </c>
      <c r="J87" s="138">
        <v>9</v>
      </c>
      <c r="K87" s="138">
        <v>33</v>
      </c>
      <c r="L87" s="71">
        <v>140</v>
      </c>
      <c r="M87" s="88">
        <v>293</v>
      </c>
      <c r="N87" s="142">
        <v>26</v>
      </c>
      <c r="O87" s="138"/>
      <c r="P87" s="138">
        <v>108</v>
      </c>
      <c r="Q87" s="141">
        <v>135</v>
      </c>
      <c r="R87" s="140">
        <v>2030</v>
      </c>
      <c r="S87" s="143">
        <v>3245</v>
      </c>
      <c r="T87" s="147">
        <v>435</v>
      </c>
      <c r="U87" s="151">
        <v>119</v>
      </c>
      <c r="V87" s="148">
        <v>1751</v>
      </c>
      <c r="W87" s="152">
        <v>3119</v>
      </c>
      <c r="X87" s="140">
        <v>30</v>
      </c>
      <c r="Y87" s="138">
        <v>32</v>
      </c>
      <c r="Z87" s="138">
        <v>117</v>
      </c>
      <c r="AA87" s="143">
        <v>117</v>
      </c>
    </row>
    <row r="88" spans="2:27" ht="15" customHeight="1">
      <c r="B88" s="97" t="s">
        <v>128</v>
      </c>
      <c r="C88" s="20">
        <v>1</v>
      </c>
      <c r="D88" s="20" t="s">
        <v>75</v>
      </c>
      <c r="E88" s="107">
        <v>70</v>
      </c>
      <c r="F88" s="140">
        <v>15</v>
      </c>
      <c r="G88" s="141">
        <v>24</v>
      </c>
      <c r="H88" s="140">
        <v>5</v>
      </c>
      <c r="I88" s="138">
        <v>7</v>
      </c>
      <c r="J88" s="138"/>
      <c r="K88" s="138"/>
      <c r="L88" s="71">
        <v>5</v>
      </c>
      <c r="M88" s="88">
        <v>7</v>
      </c>
      <c r="N88" s="142">
        <v>2</v>
      </c>
      <c r="O88" s="138"/>
      <c r="P88" s="138">
        <v>4</v>
      </c>
      <c r="Q88" s="141">
        <v>6</v>
      </c>
      <c r="R88" s="140">
        <v>89</v>
      </c>
      <c r="S88" s="143">
        <v>169</v>
      </c>
      <c r="T88" s="147">
        <v>17</v>
      </c>
      <c r="U88" s="151">
        <v>13</v>
      </c>
      <c r="V88" s="148">
        <v>70</v>
      </c>
      <c r="W88" s="152">
        <v>152</v>
      </c>
      <c r="X88" s="140"/>
      <c r="Y88" s="138"/>
      <c r="Z88" s="138">
        <v>4</v>
      </c>
      <c r="AA88" s="143">
        <v>4</v>
      </c>
    </row>
    <row r="89" spans="2:27" ht="15" customHeight="1">
      <c r="B89" s="97" t="s">
        <v>129</v>
      </c>
      <c r="C89" s="20">
        <v>1</v>
      </c>
      <c r="D89" s="20" t="s">
        <v>47</v>
      </c>
      <c r="E89" s="33">
        <v>71</v>
      </c>
      <c r="F89" s="140">
        <v>96</v>
      </c>
      <c r="G89" s="141">
        <v>146</v>
      </c>
      <c r="H89" s="140">
        <v>5</v>
      </c>
      <c r="I89" s="138">
        <v>8</v>
      </c>
      <c r="J89" s="138">
        <v>1</v>
      </c>
      <c r="K89" s="138">
        <v>6</v>
      </c>
      <c r="L89" s="71">
        <v>6</v>
      </c>
      <c r="M89" s="88">
        <v>14</v>
      </c>
      <c r="N89" s="142">
        <v>5</v>
      </c>
      <c r="O89" s="138">
        <v>3</v>
      </c>
      <c r="P89" s="138">
        <v>17</v>
      </c>
      <c r="Q89" s="141">
        <v>26</v>
      </c>
      <c r="R89" s="140">
        <v>229</v>
      </c>
      <c r="S89" s="143">
        <v>429</v>
      </c>
      <c r="T89" s="147">
        <v>41</v>
      </c>
      <c r="U89" s="151">
        <v>16</v>
      </c>
      <c r="V89" s="148">
        <v>204</v>
      </c>
      <c r="W89" s="152">
        <v>412</v>
      </c>
      <c r="X89" s="140">
        <v>2</v>
      </c>
      <c r="Y89" s="138">
        <v>2</v>
      </c>
      <c r="Z89" s="138">
        <v>102</v>
      </c>
      <c r="AA89" s="143">
        <v>102</v>
      </c>
    </row>
    <row r="90" spans="2:27" ht="15" customHeight="1">
      <c r="B90" s="97" t="s">
        <v>130</v>
      </c>
      <c r="C90" s="20"/>
      <c r="D90" s="20"/>
      <c r="E90" s="33">
        <v>72</v>
      </c>
      <c r="F90" s="140">
        <v>85</v>
      </c>
      <c r="G90" s="141">
        <v>147</v>
      </c>
      <c r="H90" s="140">
        <v>22</v>
      </c>
      <c r="I90" s="138">
        <v>44</v>
      </c>
      <c r="J90" s="138"/>
      <c r="K90" s="138">
        <v>2</v>
      </c>
      <c r="L90" s="71">
        <v>22</v>
      </c>
      <c r="M90" s="88">
        <v>46</v>
      </c>
      <c r="N90" s="142">
        <v>9</v>
      </c>
      <c r="O90" s="138"/>
      <c r="P90" s="138">
        <v>36</v>
      </c>
      <c r="Q90" s="141">
        <v>45</v>
      </c>
      <c r="R90" s="140">
        <v>449</v>
      </c>
      <c r="S90" s="143">
        <v>783</v>
      </c>
      <c r="T90" s="147">
        <v>72</v>
      </c>
      <c r="U90" s="151">
        <v>25</v>
      </c>
      <c r="V90" s="148">
        <v>419</v>
      </c>
      <c r="W90" s="152">
        <v>777</v>
      </c>
      <c r="X90" s="140">
        <v>11</v>
      </c>
      <c r="Y90" s="138">
        <v>11</v>
      </c>
      <c r="Z90" s="138">
        <v>32</v>
      </c>
      <c r="AA90" s="143">
        <v>32</v>
      </c>
    </row>
    <row r="91" spans="2:27" ht="15" customHeight="1">
      <c r="B91" s="97" t="s">
        <v>131</v>
      </c>
      <c r="C91" s="20">
        <v>1</v>
      </c>
      <c r="D91" s="20" t="s">
        <v>47</v>
      </c>
      <c r="E91" s="107">
        <v>73</v>
      </c>
      <c r="F91" s="140">
        <v>35</v>
      </c>
      <c r="G91" s="141">
        <v>71</v>
      </c>
      <c r="H91" s="140">
        <v>7</v>
      </c>
      <c r="I91" s="138">
        <v>13</v>
      </c>
      <c r="J91" s="138"/>
      <c r="K91" s="138"/>
      <c r="L91" s="71">
        <v>7</v>
      </c>
      <c r="M91" s="88">
        <v>13</v>
      </c>
      <c r="N91" s="142">
        <v>1</v>
      </c>
      <c r="O91" s="138"/>
      <c r="P91" s="138">
        <v>5</v>
      </c>
      <c r="Q91" s="141">
        <v>7</v>
      </c>
      <c r="R91" s="140">
        <v>136</v>
      </c>
      <c r="S91" s="143">
        <v>225</v>
      </c>
      <c r="T91" s="147">
        <v>23</v>
      </c>
      <c r="U91" s="151">
        <v>8</v>
      </c>
      <c r="V91" s="148">
        <v>119</v>
      </c>
      <c r="W91" s="152">
        <v>214</v>
      </c>
      <c r="X91" s="140">
        <v>1</v>
      </c>
      <c r="Y91" s="138">
        <v>1</v>
      </c>
      <c r="Z91" s="138">
        <v>12</v>
      </c>
      <c r="AA91" s="143">
        <v>12</v>
      </c>
    </row>
    <row r="92" spans="2:27" ht="15" customHeight="1">
      <c r="B92" s="97" t="s">
        <v>132</v>
      </c>
      <c r="C92" s="20">
        <v>1</v>
      </c>
      <c r="D92" s="20" t="s">
        <v>52</v>
      </c>
      <c r="E92" s="33">
        <v>74</v>
      </c>
      <c r="F92" s="140">
        <v>45</v>
      </c>
      <c r="G92" s="141">
        <v>71</v>
      </c>
      <c r="H92" s="140">
        <v>5</v>
      </c>
      <c r="I92" s="138">
        <v>12</v>
      </c>
      <c r="J92" s="138"/>
      <c r="K92" s="138"/>
      <c r="L92" s="71">
        <v>5</v>
      </c>
      <c r="M92" s="88">
        <v>12</v>
      </c>
      <c r="N92" s="142">
        <v>39</v>
      </c>
      <c r="O92" s="138"/>
      <c r="P92" s="138">
        <v>41</v>
      </c>
      <c r="Q92" s="141">
        <v>80</v>
      </c>
      <c r="R92" s="140">
        <v>355</v>
      </c>
      <c r="S92" s="143">
        <v>508</v>
      </c>
      <c r="T92" s="147">
        <v>77</v>
      </c>
      <c r="U92" s="151">
        <v>36</v>
      </c>
      <c r="V92" s="148">
        <v>327</v>
      </c>
      <c r="W92" s="152">
        <v>487</v>
      </c>
      <c r="X92" s="140">
        <v>6</v>
      </c>
      <c r="Y92" s="138">
        <v>6</v>
      </c>
      <c r="Z92" s="138">
        <v>15</v>
      </c>
      <c r="AA92" s="143">
        <v>15</v>
      </c>
    </row>
    <row r="93" spans="2:27" ht="15" customHeight="1">
      <c r="B93" s="97" t="s">
        <v>133</v>
      </c>
      <c r="C93" s="20">
        <v>1</v>
      </c>
      <c r="D93" s="20" t="s">
        <v>75</v>
      </c>
      <c r="E93" s="33">
        <v>75</v>
      </c>
      <c r="F93" s="140">
        <v>5</v>
      </c>
      <c r="G93" s="141">
        <v>6</v>
      </c>
      <c r="H93" s="140"/>
      <c r="I93" s="138"/>
      <c r="J93" s="138"/>
      <c r="K93" s="138"/>
      <c r="L93" s="71">
        <v>0</v>
      </c>
      <c r="M93" s="88">
        <v>0</v>
      </c>
      <c r="N93" s="142"/>
      <c r="O93" s="138"/>
      <c r="P93" s="138">
        <v>6</v>
      </c>
      <c r="Q93" s="141">
        <v>7</v>
      </c>
      <c r="R93" s="140">
        <v>39</v>
      </c>
      <c r="S93" s="143">
        <v>70</v>
      </c>
      <c r="T93" s="147">
        <v>8</v>
      </c>
      <c r="U93" s="151">
        <v>5</v>
      </c>
      <c r="V93" s="148">
        <v>33</v>
      </c>
      <c r="W93" s="152">
        <v>64</v>
      </c>
      <c r="X93" s="140"/>
      <c r="Y93" s="138"/>
      <c r="Z93" s="138">
        <v>2</v>
      </c>
      <c r="AA93" s="143">
        <v>2</v>
      </c>
    </row>
    <row r="94" spans="2:27" ht="15" customHeight="1">
      <c r="B94" s="97" t="s">
        <v>134</v>
      </c>
      <c r="C94" s="20"/>
      <c r="D94" s="20"/>
      <c r="E94" s="107">
        <v>76</v>
      </c>
      <c r="F94" s="140">
        <v>51</v>
      </c>
      <c r="G94" s="141">
        <v>75</v>
      </c>
      <c r="H94" s="140">
        <v>7</v>
      </c>
      <c r="I94" s="138">
        <v>13</v>
      </c>
      <c r="J94" s="138">
        <v>1</v>
      </c>
      <c r="K94" s="138">
        <v>6</v>
      </c>
      <c r="L94" s="71">
        <v>8</v>
      </c>
      <c r="M94" s="88">
        <v>19</v>
      </c>
      <c r="N94" s="142">
        <v>1</v>
      </c>
      <c r="O94" s="138"/>
      <c r="P94" s="138">
        <v>19</v>
      </c>
      <c r="Q94" s="141">
        <v>21</v>
      </c>
      <c r="R94" s="140">
        <v>373</v>
      </c>
      <c r="S94" s="143">
        <v>512</v>
      </c>
      <c r="T94" s="147">
        <v>78</v>
      </c>
      <c r="U94" s="151">
        <v>46</v>
      </c>
      <c r="V94" s="148">
        <v>278</v>
      </c>
      <c r="W94" s="152">
        <v>428</v>
      </c>
      <c r="X94" s="140">
        <v>5</v>
      </c>
      <c r="Y94" s="138">
        <v>5</v>
      </c>
      <c r="Z94" s="138">
        <v>20</v>
      </c>
      <c r="AA94" s="143">
        <v>20</v>
      </c>
    </row>
    <row r="95" spans="2:27" ht="15" customHeight="1">
      <c r="B95" s="97" t="s">
        <v>135</v>
      </c>
      <c r="C95" s="20" t="s">
        <v>63</v>
      </c>
      <c r="D95" s="20"/>
      <c r="E95" s="33">
        <v>77</v>
      </c>
      <c r="F95" s="140">
        <v>1131</v>
      </c>
      <c r="G95" s="141">
        <v>2230</v>
      </c>
      <c r="H95" s="140">
        <v>333</v>
      </c>
      <c r="I95" s="138">
        <v>721</v>
      </c>
      <c r="J95" s="138">
        <v>17</v>
      </c>
      <c r="K95" s="138">
        <v>57</v>
      </c>
      <c r="L95" s="71">
        <v>350</v>
      </c>
      <c r="M95" s="88">
        <v>778</v>
      </c>
      <c r="N95" s="142">
        <v>87</v>
      </c>
      <c r="O95" s="138">
        <v>2</v>
      </c>
      <c r="P95" s="138">
        <v>289</v>
      </c>
      <c r="Q95" s="141">
        <v>378</v>
      </c>
      <c r="R95" s="140">
        <v>4098</v>
      </c>
      <c r="S95" s="143">
        <v>6421</v>
      </c>
      <c r="T95" s="147">
        <v>833</v>
      </c>
      <c r="U95" s="151">
        <v>239</v>
      </c>
      <c r="V95" s="148">
        <v>3754</v>
      </c>
      <c r="W95" s="152">
        <v>6505</v>
      </c>
      <c r="X95" s="140">
        <v>69</v>
      </c>
      <c r="Y95" s="138">
        <v>69</v>
      </c>
      <c r="Z95" s="138">
        <v>327</v>
      </c>
      <c r="AA95" s="143">
        <v>327</v>
      </c>
    </row>
    <row r="96" spans="2:27" ht="15" customHeight="1">
      <c r="B96" s="97" t="s">
        <v>136</v>
      </c>
      <c r="C96" s="20"/>
      <c r="D96" s="20"/>
      <c r="E96" s="33">
        <v>78</v>
      </c>
      <c r="F96" s="140">
        <v>116</v>
      </c>
      <c r="G96" s="141">
        <v>206</v>
      </c>
      <c r="H96" s="140">
        <v>25</v>
      </c>
      <c r="I96" s="138">
        <v>52</v>
      </c>
      <c r="J96" s="138"/>
      <c r="K96" s="138">
        <v>1</v>
      </c>
      <c r="L96" s="71">
        <v>25</v>
      </c>
      <c r="M96" s="88">
        <v>53</v>
      </c>
      <c r="N96" s="142">
        <v>2</v>
      </c>
      <c r="O96" s="138"/>
      <c r="P96" s="138">
        <v>21</v>
      </c>
      <c r="Q96" s="141">
        <v>24</v>
      </c>
      <c r="R96" s="140">
        <v>558</v>
      </c>
      <c r="S96" s="143">
        <v>875</v>
      </c>
      <c r="T96" s="147">
        <v>99</v>
      </c>
      <c r="U96" s="151">
        <v>53</v>
      </c>
      <c r="V96" s="148">
        <v>455</v>
      </c>
      <c r="W96" s="152">
        <v>800</v>
      </c>
      <c r="X96" s="140">
        <v>7</v>
      </c>
      <c r="Y96" s="138">
        <v>7</v>
      </c>
      <c r="Z96" s="138">
        <v>41</v>
      </c>
      <c r="AA96" s="143">
        <v>41</v>
      </c>
    </row>
    <row r="97" spans="2:27" ht="15" customHeight="1">
      <c r="B97" s="97" t="s">
        <v>137</v>
      </c>
      <c r="C97" s="20">
        <v>1</v>
      </c>
      <c r="D97" s="20" t="s">
        <v>47</v>
      </c>
      <c r="E97" s="107">
        <v>79</v>
      </c>
      <c r="F97" s="140">
        <v>17</v>
      </c>
      <c r="G97" s="141">
        <v>25</v>
      </c>
      <c r="H97" s="140">
        <v>4</v>
      </c>
      <c r="I97" s="138">
        <v>5</v>
      </c>
      <c r="J97" s="138"/>
      <c r="K97" s="138"/>
      <c r="L97" s="71">
        <v>4</v>
      </c>
      <c r="M97" s="88">
        <v>5</v>
      </c>
      <c r="N97" s="142">
        <v>1</v>
      </c>
      <c r="O97" s="138"/>
      <c r="P97" s="138">
        <v>9</v>
      </c>
      <c r="Q97" s="141">
        <v>11</v>
      </c>
      <c r="R97" s="140">
        <v>226</v>
      </c>
      <c r="S97" s="143">
        <v>317</v>
      </c>
      <c r="T97" s="147">
        <v>53</v>
      </c>
      <c r="U97" s="151">
        <v>13</v>
      </c>
      <c r="V97" s="148">
        <v>175</v>
      </c>
      <c r="W97" s="152">
        <v>267</v>
      </c>
      <c r="X97" s="140"/>
      <c r="Y97" s="138"/>
      <c r="Z97" s="138">
        <v>2</v>
      </c>
      <c r="AA97" s="143">
        <v>2</v>
      </c>
    </row>
    <row r="98" spans="2:27" ht="15" customHeight="1">
      <c r="B98" s="97" t="s">
        <v>138</v>
      </c>
      <c r="C98" s="20" t="s">
        <v>63</v>
      </c>
      <c r="D98" s="20"/>
      <c r="E98" s="33">
        <v>80</v>
      </c>
      <c r="F98" s="140">
        <v>2419</v>
      </c>
      <c r="G98" s="141">
        <v>5326</v>
      </c>
      <c r="H98" s="140">
        <v>732</v>
      </c>
      <c r="I98" s="138">
        <v>1696</v>
      </c>
      <c r="J98" s="138">
        <v>62</v>
      </c>
      <c r="K98" s="138">
        <v>234</v>
      </c>
      <c r="L98" s="71">
        <v>794</v>
      </c>
      <c r="M98" s="88">
        <v>1930</v>
      </c>
      <c r="N98" s="142">
        <v>130</v>
      </c>
      <c r="O98" s="138">
        <v>3</v>
      </c>
      <c r="P98" s="138">
        <v>445</v>
      </c>
      <c r="Q98" s="141">
        <v>579</v>
      </c>
      <c r="R98" s="140">
        <v>6371</v>
      </c>
      <c r="S98" s="143">
        <v>10382</v>
      </c>
      <c r="T98" s="147">
        <v>1235</v>
      </c>
      <c r="U98" s="151">
        <v>434</v>
      </c>
      <c r="V98" s="148">
        <v>6075</v>
      </c>
      <c r="W98" s="152">
        <v>11222</v>
      </c>
      <c r="X98" s="140">
        <v>115</v>
      </c>
      <c r="Y98" s="138">
        <v>116</v>
      </c>
      <c r="Z98" s="138">
        <v>641</v>
      </c>
      <c r="AA98" s="143">
        <v>641</v>
      </c>
    </row>
    <row r="99" spans="2:27" ht="15" customHeight="1">
      <c r="B99" s="97" t="s">
        <v>139</v>
      </c>
      <c r="C99" s="20">
        <v>1</v>
      </c>
      <c r="D99" s="20" t="s">
        <v>52</v>
      </c>
      <c r="E99" s="33">
        <v>81</v>
      </c>
      <c r="F99" s="140">
        <v>23</v>
      </c>
      <c r="G99" s="141">
        <v>39</v>
      </c>
      <c r="H99" s="140">
        <v>5</v>
      </c>
      <c r="I99" s="138">
        <v>9</v>
      </c>
      <c r="J99" s="138">
        <v>1</v>
      </c>
      <c r="K99" s="138">
        <v>1</v>
      </c>
      <c r="L99" s="71">
        <v>6</v>
      </c>
      <c r="M99" s="88">
        <v>10</v>
      </c>
      <c r="N99" s="142"/>
      <c r="O99" s="138"/>
      <c r="P99" s="138">
        <v>6</v>
      </c>
      <c r="Q99" s="141">
        <v>6</v>
      </c>
      <c r="R99" s="140">
        <v>190</v>
      </c>
      <c r="S99" s="143">
        <v>248</v>
      </c>
      <c r="T99" s="147">
        <v>43</v>
      </c>
      <c r="U99" s="151">
        <v>23</v>
      </c>
      <c r="V99" s="148">
        <v>136</v>
      </c>
      <c r="W99" s="152">
        <v>198</v>
      </c>
      <c r="X99" s="140">
        <v>2</v>
      </c>
      <c r="Y99" s="138">
        <v>2</v>
      </c>
      <c r="Z99" s="138">
        <v>7</v>
      </c>
      <c r="AA99" s="143">
        <v>7</v>
      </c>
    </row>
    <row r="100" spans="2:27" ht="15" customHeight="1">
      <c r="B100" s="97" t="s">
        <v>140</v>
      </c>
      <c r="C100" s="20">
        <v>1</v>
      </c>
      <c r="D100" s="20" t="s">
        <v>75</v>
      </c>
      <c r="E100" s="107">
        <v>82</v>
      </c>
      <c r="F100" s="140">
        <v>19</v>
      </c>
      <c r="G100" s="141">
        <v>34</v>
      </c>
      <c r="H100" s="140">
        <v>3</v>
      </c>
      <c r="I100" s="138">
        <v>6</v>
      </c>
      <c r="J100" s="138"/>
      <c r="K100" s="138"/>
      <c r="L100" s="71">
        <v>3</v>
      </c>
      <c r="M100" s="88">
        <v>6</v>
      </c>
      <c r="N100" s="142"/>
      <c r="O100" s="138"/>
      <c r="P100" s="138">
        <v>6</v>
      </c>
      <c r="Q100" s="141">
        <v>6</v>
      </c>
      <c r="R100" s="140">
        <v>105</v>
      </c>
      <c r="S100" s="143">
        <v>144</v>
      </c>
      <c r="T100" s="147">
        <v>19</v>
      </c>
      <c r="U100" s="151">
        <v>20</v>
      </c>
      <c r="V100" s="148">
        <v>75</v>
      </c>
      <c r="W100" s="152">
        <v>117</v>
      </c>
      <c r="X100" s="140">
        <v>3</v>
      </c>
      <c r="Y100" s="138">
        <v>3</v>
      </c>
      <c r="Z100" s="138">
        <v>7</v>
      </c>
      <c r="AA100" s="143">
        <v>7</v>
      </c>
    </row>
    <row r="101" spans="2:27" ht="15" customHeight="1">
      <c r="B101" s="97" t="s">
        <v>141</v>
      </c>
      <c r="C101" s="20"/>
      <c r="D101" s="20"/>
      <c r="E101" s="33">
        <v>83</v>
      </c>
      <c r="F101" s="140">
        <v>1172</v>
      </c>
      <c r="G101" s="141">
        <v>2106</v>
      </c>
      <c r="H101" s="140">
        <v>286</v>
      </c>
      <c r="I101" s="138">
        <v>600</v>
      </c>
      <c r="J101" s="138">
        <v>19</v>
      </c>
      <c r="K101" s="138">
        <v>59</v>
      </c>
      <c r="L101" s="71">
        <v>305</v>
      </c>
      <c r="M101" s="88">
        <v>659</v>
      </c>
      <c r="N101" s="142">
        <v>47</v>
      </c>
      <c r="O101" s="138">
        <v>1</v>
      </c>
      <c r="P101" s="138">
        <v>210</v>
      </c>
      <c r="Q101" s="141">
        <v>259</v>
      </c>
      <c r="R101" s="140">
        <v>3712</v>
      </c>
      <c r="S101" s="143">
        <v>5488</v>
      </c>
      <c r="T101" s="147">
        <v>796</v>
      </c>
      <c r="U101" s="151">
        <v>280</v>
      </c>
      <c r="V101" s="148">
        <v>3200</v>
      </c>
      <c r="W101" s="152">
        <v>5330</v>
      </c>
      <c r="X101" s="140">
        <v>106</v>
      </c>
      <c r="Y101" s="138">
        <v>110</v>
      </c>
      <c r="Z101" s="138">
        <v>404</v>
      </c>
      <c r="AA101" s="143">
        <v>404</v>
      </c>
    </row>
    <row r="102" spans="2:27" ht="15" customHeight="1">
      <c r="B102" s="97" t="s">
        <v>142</v>
      </c>
      <c r="C102" s="20" t="s">
        <v>63</v>
      </c>
      <c r="D102" s="20"/>
      <c r="E102" s="33">
        <v>84</v>
      </c>
      <c r="F102" s="140">
        <v>538</v>
      </c>
      <c r="G102" s="141">
        <v>885</v>
      </c>
      <c r="H102" s="140">
        <v>103</v>
      </c>
      <c r="I102" s="138">
        <v>237</v>
      </c>
      <c r="J102" s="138">
        <v>3</v>
      </c>
      <c r="K102" s="138">
        <v>11</v>
      </c>
      <c r="L102" s="71">
        <v>106</v>
      </c>
      <c r="M102" s="88">
        <v>248</v>
      </c>
      <c r="N102" s="142">
        <v>30</v>
      </c>
      <c r="O102" s="138">
        <v>1</v>
      </c>
      <c r="P102" s="138">
        <v>86</v>
      </c>
      <c r="Q102" s="141">
        <v>117</v>
      </c>
      <c r="R102" s="140">
        <v>2303</v>
      </c>
      <c r="S102" s="143">
        <v>3387</v>
      </c>
      <c r="T102" s="147">
        <v>474</v>
      </c>
      <c r="U102" s="151">
        <v>217</v>
      </c>
      <c r="V102" s="148">
        <v>1835</v>
      </c>
      <c r="W102" s="152">
        <v>3061</v>
      </c>
      <c r="X102" s="140">
        <v>34</v>
      </c>
      <c r="Y102" s="138">
        <v>35</v>
      </c>
      <c r="Z102" s="138">
        <v>197</v>
      </c>
      <c r="AA102" s="143">
        <v>197</v>
      </c>
    </row>
    <row r="103" spans="2:27" ht="15" customHeight="1">
      <c r="B103" s="97" t="s">
        <v>143</v>
      </c>
      <c r="C103" s="20"/>
      <c r="D103" s="20"/>
      <c r="E103" s="107">
        <v>85</v>
      </c>
      <c r="F103" s="140">
        <v>39</v>
      </c>
      <c r="G103" s="141">
        <v>57</v>
      </c>
      <c r="H103" s="140">
        <v>11</v>
      </c>
      <c r="I103" s="138">
        <v>17</v>
      </c>
      <c r="J103" s="138"/>
      <c r="K103" s="138"/>
      <c r="L103" s="71">
        <v>11</v>
      </c>
      <c r="M103" s="88">
        <v>17</v>
      </c>
      <c r="N103" s="142">
        <v>6</v>
      </c>
      <c r="O103" s="138">
        <v>1</v>
      </c>
      <c r="P103" s="138">
        <v>30</v>
      </c>
      <c r="Q103" s="141">
        <v>37</v>
      </c>
      <c r="R103" s="140">
        <v>325</v>
      </c>
      <c r="S103" s="143">
        <v>523</v>
      </c>
      <c r="T103" s="147">
        <v>61</v>
      </c>
      <c r="U103" s="151">
        <v>37</v>
      </c>
      <c r="V103" s="148">
        <v>275</v>
      </c>
      <c r="W103" s="152">
        <v>479</v>
      </c>
      <c r="X103" s="140">
        <v>2</v>
      </c>
      <c r="Y103" s="138">
        <v>2</v>
      </c>
      <c r="Z103" s="138">
        <v>18</v>
      </c>
      <c r="AA103" s="143">
        <v>18</v>
      </c>
    </row>
    <row r="104" spans="2:27" ht="15" customHeight="1">
      <c r="B104" s="97" t="s">
        <v>144</v>
      </c>
      <c r="C104" s="20"/>
      <c r="D104" s="20"/>
      <c r="E104" s="33">
        <v>86</v>
      </c>
      <c r="F104" s="140">
        <v>177</v>
      </c>
      <c r="G104" s="141">
        <v>318</v>
      </c>
      <c r="H104" s="140">
        <v>45</v>
      </c>
      <c r="I104" s="138">
        <v>79</v>
      </c>
      <c r="J104" s="138">
        <v>2</v>
      </c>
      <c r="K104" s="138">
        <v>8</v>
      </c>
      <c r="L104" s="71">
        <v>47</v>
      </c>
      <c r="M104" s="88">
        <v>87</v>
      </c>
      <c r="N104" s="142">
        <v>12</v>
      </c>
      <c r="O104" s="138"/>
      <c r="P104" s="138">
        <v>92</v>
      </c>
      <c r="Q104" s="141">
        <v>105</v>
      </c>
      <c r="R104" s="140">
        <v>919</v>
      </c>
      <c r="S104" s="143">
        <v>1430</v>
      </c>
      <c r="T104" s="147">
        <v>175</v>
      </c>
      <c r="U104" s="151">
        <v>63</v>
      </c>
      <c r="V104" s="148">
        <v>833</v>
      </c>
      <c r="W104" s="152">
        <v>1384</v>
      </c>
      <c r="X104" s="140">
        <v>15</v>
      </c>
      <c r="Y104" s="138">
        <v>15</v>
      </c>
      <c r="Z104" s="138">
        <v>44</v>
      </c>
      <c r="AA104" s="143">
        <v>44</v>
      </c>
    </row>
    <row r="105" spans="2:27" ht="15" customHeight="1">
      <c r="B105" s="97" t="s">
        <v>145</v>
      </c>
      <c r="C105" s="20">
        <v>1</v>
      </c>
      <c r="D105" s="20" t="s">
        <v>52</v>
      </c>
      <c r="E105" s="33">
        <v>87</v>
      </c>
      <c r="F105" s="140">
        <v>8</v>
      </c>
      <c r="G105" s="141">
        <v>10</v>
      </c>
      <c r="H105" s="140">
        <v>5</v>
      </c>
      <c r="I105" s="138">
        <v>11</v>
      </c>
      <c r="J105" s="138"/>
      <c r="K105" s="138"/>
      <c r="L105" s="71">
        <v>5</v>
      </c>
      <c r="M105" s="88">
        <v>11</v>
      </c>
      <c r="N105" s="142"/>
      <c r="O105" s="138"/>
      <c r="P105" s="138">
        <v>2</v>
      </c>
      <c r="Q105" s="141">
        <v>2</v>
      </c>
      <c r="R105" s="140">
        <v>77</v>
      </c>
      <c r="S105" s="143">
        <v>135</v>
      </c>
      <c r="T105" s="147">
        <v>8</v>
      </c>
      <c r="U105" s="151">
        <v>8</v>
      </c>
      <c r="V105" s="148">
        <v>68</v>
      </c>
      <c r="W105" s="152">
        <v>132</v>
      </c>
      <c r="X105" s="140"/>
      <c r="Y105" s="138"/>
      <c r="Z105" s="138">
        <v>3</v>
      </c>
      <c r="AA105" s="143">
        <v>3</v>
      </c>
    </row>
    <row r="106" spans="2:27" ht="15" customHeight="1">
      <c r="B106" s="97" t="s">
        <v>146</v>
      </c>
      <c r="C106" s="20"/>
      <c r="D106" s="20"/>
      <c r="E106" s="107">
        <v>88</v>
      </c>
      <c r="F106" s="140">
        <v>525</v>
      </c>
      <c r="G106" s="141">
        <v>1090</v>
      </c>
      <c r="H106" s="140">
        <v>139</v>
      </c>
      <c r="I106" s="138">
        <v>295</v>
      </c>
      <c r="J106" s="138">
        <v>7</v>
      </c>
      <c r="K106" s="138">
        <v>31</v>
      </c>
      <c r="L106" s="71">
        <v>146</v>
      </c>
      <c r="M106" s="88">
        <v>326</v>
      </c>
      <c r="N106" s="142">
        <v>23</v>
      </c>
      <c r="O106" s="138"/>
      <c r="P106" s="138">
        <v>67</v>
      </c>
      <c r="Q106" s="141">
        <v>90</v>
      </c>
      <c r="R106" s="140">
        <v>2060</v>
      </c>
      <c r="S106" s="143">
        <v>3449</v>
      </c>
      <c r="T106" s="147">
        <v>374</v>
      </c>
      <c r="U106" s="151">
        <v>144</v>
      </c>
      <c r="V106" s="148">
        <v>1778</v>
      </c>
      <c r="W106" s="152">
        <v>3347</v>
      </c>
      <c r="X106" s="140">
        <v>27</v>
      </c>
      <c r="Y106" s="138">
        <v>27</v>
      </c>
      <c r="Z106" s="138">
        <v>132</v>
      </c>
      <c r="AA106" s="143">
        <v>132</v>
      </c>
    </row>
    <row r="107" spans="2:27" ht="15" customHeight="1">
      <c r="B107" s="97" t="s">
        <v>147</v>
      </c>
      <c r="C107" s="20" t="s">
        <v>63</v>
      </c>
      <c r="D107" s="20"/>
      <c r="E107" s="33">
        <v>89</v>
      </c>
      <c r="F107" s="140">
        <v>4555</v>
      </c>
      <c r="G107" s="141">
        <v>9349</v>
      </c>
      <c r="H107" s="140">
        <v>1274</v>
      </c>
      <c r="I107" s="138">
        <v>2899</v>
      </c>
      <c r="J107" s="138">
        <v>103</v>
      </c>
      <c r="K107" s="138">
        <v>389</v>
      </c>
      <c r="L107" s="71">
        <v>1377</v>
      </c>
      <c r="M107" s="88">
        <v>3288</v>
      </c>
      <c r="N107" s="142">
        <v>260</v>
      </c>
      <c r="O107" s="138">
        <v>1</v>
      </c>
      <c r="P107" s="138">
        <v>599</v>
      </c>
      <c r="Q107" s="141">
        <v>861</v>
      </c>
      <c r="R107" s="140">
        <v>9019</v>
      </c>
      <c r="S107" s="143">
        <v>14896</v>
      </c>
      <c r="T107" s="147">
        <v>1614</v>
      </c>
      <c r="U107" s="151">
        <v>355</v>
      </c>
      <c r="V107" s="148">
        <v>9288</v>
      </c>
      <c r="W107" s="152">
        <v>17076</v>
      </c>
      <c r="X107" s="140">
        <v>278</v>
      </c>
      <c r="Y107" s="138">
        <v>279</v>
      </c>
      <c r="Z107" s="138">
        <v>1222</v>
      </c>
      <c r="AA107" s="143">
        <v>1223</v>
      </c>
    </row>
    <row r="108" spans="2:27" ht="15" customHeight="1">
      <c r="B108" s="97" t="s">
        <v>148</v>
      </c>
      <c r="C108" s="20"/>
      <c r="D108" s="20"/>
      <c r="E108" s="33">
        <v>90</v>
      </c>
      <c r="F108" s="140">
        <v>26</v>
      </c>
      <c r="G108" s="141">
        <v>43</v>
      </c>
      <c r="H108" s="140">
        <v>5</v>
      </c>
      <c r="I108" s="138">
        <v>8</v>
      </c>
      <c r="J108" s="138"/>
      <c r="K108" s="138"/>
      <c r="L108" s="71">
        <v>5</v>
      </c>
      <c r="M108" s="88">
        <v>8</v>
      </c>
      <c r="N108" s="142">
        <v>3</v>
      </c>
      <c r="O108" s="138"/>
      <c r="P108" s="138">
        <v>9</v>
      </c>
      <c r="Q108" s="141">
        <v>13</v>
      </c>
      <c r="R108" s="140">
        <v>218</v>
      </c>
      <c r="S108" s="143">
        <v>278</v>
      </c>
      <c r="T108" s="147">
        <v>53</v>
      </c>
      <c r="U108" s="151">
        <v>22</v>
      </c>
      <c r="V108" s="148">
        <v>161</v>
      </c>
      <c r="W108" s="152">
        <v>224</v>
      </c>
      <c r="X108" s="140">
        <v>2</v>
      </c>
      <c r="Y108" s="138">
        <v>2</v>
      </c>
      <c r="Z108" s="138">
        <v>9</v>
      </c>
      <c r="AA108" s="143">
        <v>9</v>
      </c>
    </row>
    <row r="109" spans="2:27" ht="15" customHeight="1">
      <c r="B109" s="97" t="s">
        <v>149</v>
      </c>
      <c r="C109" s="20"/>
      <c r="D109" s="20"/>
      <c r="E109" s="107">
        <v>91</v>
      </c>
      <c r="F109" s="140">
        <v>33</v>
      </c>
      <c r="G109" s="141">
        <v>66</v>
      </c>
      <c r="H109" s="140">
        <v>14</v>
      </c>
      <c r="I109" s="138">
        <v>28</v>
      </c>
      <c r="J109" s="138"/>
      <c r="K109" s="138"/>
      <c r="L109" s="71">
        <v>14</v>
      </c>
      <c r="M109" s="88">
        <v>28</v>
      </c>
      <c r="N109" s="142">
        <v>1</v>
      </c>
      <c r="O109" s="138"/>
      <c r="P109" s="138">
        <v>6</v>
      </c>
      <c r="Q109" s="141">
        <v>7</v>
      </c>
      <c r="R109" s="140">
        <v>290</v>
      </c>
      <c r="S109" s="143">
        <v>515</v>
      </c>
      <c r="T109" s="147">
        <v>46</v>
      </c>
      <c r="U109" s="151">
        <v>19</v>
      </c>
      <c r="V109" s="148">
        <v>246</v>
      </c>
      <c r="W109" s="152">
        <v>485</v>
      </c>
      <c r="X109" s="140">
        <v>2</v>
      </c>
      <c r="Y109" s="138">
        <v>2</v>
      </c>
      <c r="Z109" s="138">
        <v>16</v>
      </c>
      <c r="AA109" s="143">
        <v>16</v>
      </c>
    </row>
    <row r="110" spans="2:27" ht="15" customHeight="1">
      <c r="B110" s="97" t="s">
        <v>150</v>
      </c>
      <c r="C110" s="20">
        <v>1</v>
      </c>
      <c r="D110" s="20" t="s">
        <v>52</v>
      </c>
      <c r="E110" s="33">
        <v>92</v>
      </c>
      <c r="F110" s="140">
        <v>20</v>
      </c>
      <c r="G110" s="141">
        <v>41</v>
      </c>
      <c r="H110" s="140">
        <v>7</v>
      </c>
      <c r="I110" s="138">
        <v>16</v>
      </c>
      <c r="J110" s="138"/>
      <c r="K110" s="138"/>
      <c r="L110" s="71">
        <v>7</v>
      </c>
      <c r="M110" s="88">
        <v>16</v>
      </c>
      <c r="N110" s="142"/>
      <c r="O110" s="138">
        <v>1</v>
      </c>
      <c r="P110" s="138">
        <v>10</v>
      </c>
      <c r="Q110" s="141">
        <v>11</v>
      </c>
      <c r="R110" s="140">
        <v>143</v>
      </c>
      <c r="S110" s="143">
        <v>240</v>
      </c>
      <c r="T110" s="147">
        <v>20</v>
      </c>
      <c r="U110" s="151">
        <v>11</v>
      </c>
      <c r="V110" s="148">
        <v>130</v>
      </c>
      <c r="W110" s="152">
        <v>236</v>
      </c>
      <c r="X110" s="140"/>
      <c r="Y110" s="138"/>
      <c r="Z110" s="138">
        <v>15</v>
      </c>
      <c r="AA110" s="143">
        <v>15</v>
      </c>
    </row>
    <row r="111" spans="2:27" ht="15" customHeight="1">
      <c r="B111" s="97" t="s">
        <v>151</v>
      </c>
      <c r="C111" s="20" t="s">
        <v>63</v>
      </c>
      <c r="D111" s="20"/>
      <c r="E111" s="33">
        <v>93</v>
      </c>
      <c r="F111" s="140">
        <v>11527</v>
      </c>
      <c r="G111" s="141">
        <v>22618</v>
      </c>
      <c r="H111" s="140">
        <v>3074</v>
      </c>
      <c r="I111" s="138">
        <v>7007</v>
      </c>
      <c r="J111" s="138">
        <v>103</v>
      </c>
      <c r="K111" s="138">
        <v>382</v>
      </c>
      <c r="L111" s="71">
        <v>3177</v>
      </c>
      <c r="M111" s="88">
        <v>7389</v>
      </c>
      <c r="N111" s="142">
        <v>456</v>
      </c>
      <c r="O111" s="138">
        <v>4</v>
      </c>
      <c r="P111" s="138">
        <v>1023</v>
      </c>
      <c r="Q111" s="141">
        <v>1484</v>
      </c>
      <c r="R111" s="140">
        <v>18299</v>
      </c>
      <c r="S111" s="143">
        <v>28929</v>
      </c>
      <c r="T111" s="147">
        <v>3078</v>
      </c>
      <c r="U111" s="151">
        <v>683</v>
      </c>
      <c r="V111" s="148">
        <v>19199</v>
      </c>
      <c r="W111" s="152">
        <v>34041</v>
      </c>
      <c r="X111" s="140">
        <v>531</v>
      </c>
      <c r="Y111" s="138">
        <v>543</v>
      </c>
      <c r="Z111" s="138">
        <v>3705</v>
      </c>
      <c r="AA111" s="143">
        <v>3707</v>
      </c>
    </row>
    <row r="112" spans="2:27" ht="15" customHeight="1">
      <c r="B112" s="97" t="s">
        <v>152</v>
      </c>
      <c r="C112" s="20"/>
      <c r="D112" s="20"/>
      <c r="E112" s="33">
        <v>95</v>
      </c>
      <c r="F112" s="140">
        <v>1458</v>
      </c>
      <c r="G112" s="141">
        <v>2936</v>
      </c>
      <c r="H112" s="140">
        <v>347</v>
      </c>
      <c r="I112" s="138">
        <v>804</v>
      </c>
      <c r="J112" s="138">
        <v>18</v>
      </c>
      <c r="K112" s="138">
        <v>65</v>
      </c>
      <c r="L112" s="71">
        <v>365</v>
      </c>
      <c r="M112" s="88">
        <v>869</v>
      </c>
      <c r="N112" s="142">
        <v>68</v>
      </c>
      <c r="O112" s="138"/>
      <c r="P112" s="138">
        <v>240</v>
      </c>
      <c r="Q112" s="141">
        <v>309</v>
      </c>
      <c r="R112" s="140">
        <v>3437</v>
      </c>
      <c r="S112" s="143">
        <v>5627</v>
      </c>
      <c r="T112" s="147">
        <v>674</v>
      </c>
      <c r="U112" s="151">
        <v>126</v>
      </c>
      <c r="V112" s="148">
        <v>3311</v>
      </c>
      <c r="W112" s="152">
        <v>6005</v>
      </c>
      <c r="X112" s="140">
        <v>77</v>
      </c>
      <c r="Y112" s="138">
        <v>79</v>
      </c>
      <c r="Z112" s="138">
        <v>380</v>
      </c>
      <c r="AA112" s="143">
        <v>380</v>
      </c>
    </row>
    <row r="113" spans="2:27" ht="15" customHeight="1">
      <c r="B113" s="97" t="s">
        <v>153</v>
      </c>
      <c r="C113" s="20"/>
      <c r="D113" s="20"/>
      <c r="E113" s="33">
        <v>96</v>
      </c>
      <c r="F113" s="140">
        <v>217</v>
      </c>
      <c r="G113" s="141">
        <v>363</v>
      </c>
      <c r="H113" s="140">
        <v>35</v>
      </c>
      <c r="I113" s="138">
        <v>62</v>
      </c>
      <c r="J113" s="138">
        <v>3</v>
      </c>
      <c r="K113" s="138">
        <v>12</v>
      </c>
      <c r="L113" s="71">
        <v>38</v>
      </c>
      <c r="M113" s="88">
        <v>74</v>
      </c>
      <c r="N113" s="142">
        <v>20</v>
      </c>
      <c r="O113" s="138"/>
      <c r="P113" s="138">
        <v>54</v>
      </c>
      <c r="Q113" s="141">
        <v>74</v>
      </c>
      <c r="R113" s="140">
        <v>1378</v>
      </c>
      <c r="S113" s="143">
        <v>2037</v>
      </c>
      <c r="T113" s="147">
        <v>268</v>
      </c>
      <c r="U113" s="151">
        <v>169</v>
      </c>
      <c r="V113" s="148">
        <v>1053</v>
      </c>
      <c r="W113" s="152">
        <v>1748</v>
      </c>
      <c r="X113" s="140">
        <v>20</v>
      </c>
      <c r="Y113" s="138">
        <v>20</v>
      </c>
      <c r="Z113" s="138">
        <v>69</v>
      </c>
      <c r="AA113" s="143">
        <v>69</v>
      </c>
    </row>
    <row r="114" spans="2:27" ht="15" customHeight="1">
      <c r="B114" s="97" t="s">
        <v>154</v>
      </c>
      <c r="C114" s="20"/>
      <c r="D114" s="20"/>
      <c r="E114" s="107">
        <v>94</v>
      </c>
      <c r="F114" s="140">
        <v>244</v>
      </c>
      <c r="G114" s="141">
        <v>403</v>
      </c>
      <c r="H114" s="140">
        <v>48</v>
      </c>
      <c r="I114" s="138">
        <v>97</v>
      </c>
      <c r="J114" s="138">
        <v>1</v>
      </c>
      <c r="K114" s="138">
        <v>5</v>
      </c>
      <c r="L114" s="71">
        <v>49</v>
      </c>
      <c r="M114" s="88">
        <v>102</v>
      </c>
      <c r="N114" s="142">
        <v>30</v>
      </c>
      <c r="O114" s="138">
        <v>4</v>
      </c>
      <c r="P114" s="138">
        <v>39</v>
      </c>
      <c r="Q114" s="141">
        <v>74</v>
      </c>
      <c r="R114" s="140">
        <v>1454</v>
      </c>
      <c r="S114" s="143">
        <v>2034</v>
      </c>
      <c r="T114" s="147">
        <v>321</v>
      </c>
      <c r="U114" s="151">
        <v>128</v>
      </c>
      <c r="V114" s="148">
        <v>1128</v>
      </c>
      <c r="W114" s="152">
        <v>1761</v>
      </c>
      <c r="X114" s="140">
        <v>21</v>
      </c>
      <c r="Y114" s="138">
        <v>22</v>
      </c>
      <c r="Z114" s="138">
        <v>111</v>
      </c>
      <c r="AA114" s="143">
        <v>111</v>
      </c>
    </row>
    <row r="115" spans="2:27" ht="15" customHeight="1">
      <c r="B115" s="97" t="s">
        <v>155</v>
      </c>
      <c r="C115" s="20"/>
      <c r="D115" s="20"/>
      <c r="E115" s="107">
        <v>97</v>
      </c>
      <c r="F115" s="140">
        <v>58</v>
      </c>
      <c r="G115" s="141">
        <v>87</v>
      </c>
      <c r="H115" s="140">
        <v>11</v>
      </c>
      <c r="I115" s="138">
        <v>19</v>
      </c>
      <c r="J115" s="138"/>
      <c r="K115" s="138"/>
      <c r="L115" s="71">
        <v>11</v>
      </c>
      <c r="M115" s="88">
        <v>19</v>
      </c>
      <c r="N115" s="142">
        <v>4</v>
      </c>
      <c r="O115" s="138"/>
      <c r="P115" s="138">
        <v>15</v>
      </c>
      <c r="Q115" s="141">
        <v>19</v>
      </c>
      <c r="R115" s="140">
        <v>590</v>
      </c>
      <c r="S115" s="143">
        <v>893</v>
      </c>
      <c r="T115" s="147">
        <v>112</v>
      </c>
      <c r="U115" s="151">
        <v>60</v>
      </c>
      <c r="V115" s="148">
        <v>448</v>
      </c>
      <c r="W115" s="152">
        <v>759</v>
      </c>
      <c r="X115" s="140">
        <v>7</v>
      </c>
      <c r="Y115" s="138">
        <v>7</v>
      </c>
      <c r="Z115" s="138">
        <v>46</v>
      </c>
      <c r="AA115" s="143">
        <v>46</v>
      </c>
    </row>
    <row r="116" spans="2:27" ht="15" customHeight="1">
      <c r="B116" s="97" t="s">
        <v>156</v>
      </c>
      <c r="C116" s="20">
        <v>1</v>
      </c>
      <c r="D116" s="20" t="s">
        <v>52</v>
      </c>
      <c r="E116" s="33">
        <v>98</v>
      </c>
      <c r="F116" s="140">
        <v>7</v>
      </c>
      <c r="G116" s="141">
        <v>10</v>
      </c>
      <c r="H116" s="140">
        <v>3</v>
      </c>
      <c r="I116" s="138">
        <v>8</v>
      </c>
      <c r="J116" s="138"/>
      <c r="K116" s="138"/>
      <c r="L116" s="71">
        <v>3</v>
      </c>
      <c r="M116" s="88">
        <v>8</v>
      </c>
      <c r="N116" s="142"/>
      <c r="O116" s="138"/>
      <c r="P116" s="138">
        <v>10</v>
      </c>
      <c r="Q116" s="141">
        <v>11</v>
      </c>
      <c r="R116" s="140">
        <v>63</v>
      </c>
      <c r="S116" s="143">
        <v>116</v>
      </c>
      <c r="T116" s="147">
        <v>12</v>
      </c>
      <c r="U116" s="151">
        <v>5</v>
      </c>
      <c r="V116" s="148">
        <v>60</v>
      </c>
      <c r="W116" s="152">
        <v>118</v>
      </c>
      <c r="X116" s="140"/>
      <c r="Y116" s="138"/>
      <c r="Z116" s="138">
        <v>6</v>
      </c>
      <c r="AA116" s="143">
        <v>6</v>
      </c>
    </row>
    <row r="117" spans="2:27" ht="15" customHeight="1">
      <c r="B117" s="97" t="s">
        <v>157</v>
      </c>
      <c r="C117" s="20"/>
      <c r="D117" s="20"/>
      <c r="E117" s="33">
        <v>99</v>
      </c>
      <c r="F117" s="140">
        <v>74</v>
      </c>
      <c r="G117" s="141">
        <v>115</v>
      </c>
      <c r="H117" s="140">
        <v>23</v>
      </c>
      <c r="I117" s="138">
        <v>42</v>
      </c>
      <c r="J117" s="138"/>
      <c r="K117" s="138">
        <v>1</v>
      </c>
      <c r="L117" s="71">
        <v>23</v>
      </c>
      <c r="M117" s="88">
        <v>43</v>
      </c>
      <c r="N117" s="142">
        <v>4</v>
      </c>
      <c r="O117" s="138"/>
      <c r="P117" s="138">
        <v>15</v>
      </c>
      <c r="Q117" s="141">
        <v>19</v>
      </c>
      <c r="R117" s="140">
        <v>352</v>
      </c>
      <c r="S117" s="143">
        <v>557</v>
      </c>
      <c r="T117" s="147">
        <v>56</v>
      </c>
      <c r="U117" s="151">
        <v>37</v>
      </c>
      <c r="V117" s="148">
        <v>301</v>
      </c>
      <c r="W117" s="152">
        <v>526</v>
      </c>
      <c r="X117" s="140">
        <v>6</v>
      </c>
      <c r="Y117" s="138">
        <v>6</v>
      </c>
      <c r="Z117" s="138">
        <v>35</v>
      </c>
      <c r="AA117" s="143">
        <v>35</v>
      </c>
    </row>
    <row r="118" spans="2:27" ht="15" customHeight="1">
      <c r="B118" s="97" t="s">
        <v>158</v>
      </c>
      <c r="C118" s="20">
        <v>1</v>
      </c>
      <c r="D118" s="20" t="s">
        <v>52</v>
      </c>
      <c r="E118" s="107">
        <v>100</v>
      </c>
      <c r="F118" s="140">
        <v>33.067</v>
      </c>
      <c r="G118" s="141">
        <v>63.058</v>
      </c>
      <c r="H118" s="140">
        <v>7.69</v>
      </c>
      <c r="I118" s="138">
        <v>14.611</v>
      </c>
      <c r="J118" s="138"/>
      <c r="K118" s="138"/>
      <c r="L118" s="71">
        <v>7.69</v>
      </c>
      <c r="M118" s="88">
        <v>14.611</v>
      </c>
      <c r="N118" s="142"/>
      <c r="O118" s="138"/>
      <c r="P118" s="138">
        <v>7</v>
      </c>
      <c r="Q118" s="141">
        <v>7</v>
      </c>
      <c r="R118" s="140">
        <v>267.612</v>
      </c>
      <c r="S118" s="143">
        <v>422.95</v>
      </c>
      <c r="T118" s="147">
        <v>53.83</v>
      </c>
      <c r="U118" s="151">
        <v>14.611</v>
      </c>
      <c r="V118" s="148">
        <v>213.86100000000005</v>
      </c>
      <c r="W118" s="152">
        <v>376.12</v>
      </c>
      <c r="X118" s="140">
        <v>0.769</v>
      </c>
      <c r="Y118" s="138">
        <v>0.769</v>
      </c>
      <c r="Z118" s="138">
        <v>9.228</v>
      </c>
      <c r="AA118" s="143">
        <v>9.228</v>
      </c>
    </row>
    <row r="119" spans="2:27" ht="15" customHeight="1">
      <c r="B119" s="97" t="s">
        <v>159</v>
      </c>
      <c r="C119" s="20"/>
      <c r="D119" s="20"/>
      <c r="E119" s="33">
        <v>101</v>
      </c>
      <c r="F119" s="140">
        <v>135</v>
      </c>
      <c r="G119" s="141">
        <v>204</v>
      </c>
      <c r="H119" s="140">
        <v>38</v>
      </c>
      <c r="I119" s="138">
        <v>65</v>
      </c>
      <c r="J119" s="138">
        <v>1</v>
      </c>
      <c r="K119" s="138">
        <v>3</v>
      </c>
      <c r="L119" s="71">
        <v>39</v>
      </c>
      <c r="M119" s="88">
        <v>68</v>
      </c>
      <c r="N119" s="142">
        <v>14</v>
      </c>
      <c r="O119" s="138"/>
      <c r="P119" s="138">
        <v>48</v>
      </c>
      <c r="Q119" s="141">
        <v>62</v>
      </c>
      <c r="R119" s="140">
        <v>891</v>
      </c>
      <c r="S119" s="143">
        <v>1224</v>
      </c>
      <c r="T119" s="147">
        <v>207</v>
      </c>
      <c r="U119" s="151">
        <v>85</v>
      </c>
      <c r="V119" s="148">
        <v>700</v>
      </c>
      <c r="W119" s="152">
        <v>1062</v>
      </c>
      <c r="X119" s="140">
        <v>11</v>
      </c>
      <c r="Y119" s="138">
        <v>11</v>
      </c>
      <c r="Z119" s="138">
        <v>55</v>
      </c>
      <c r="AA119" s="143">
        <v>55</v>
      </c>
    </row>
    <row r="120" spans="2:27" ht="15" customHeight="1">
      <c r="B120" s="97" t="s">
        <v>160</v>
      </c>
      <c r="C120" s="20">
        <v>1</v>
      </c>
      <c r="D120" s="20" t="s">
        <v>47</v>
      </c>
      <c r="E120" s="33">
        <v>102</v>
      </c>
      <c r="F120" s="140">
        <v>21</v>
      </c>
      <c r="G120" s="141">
        <v>44</v>
      </c>
      <c r="H120" s="140">
        <v>10</v>
      </c>
      <c r="I120" s="138">
        <v>24</v>
      </c>
      <c r="J120" s="138"/>
      <c r="K120" s="138">
        <v>5</v>
      </c>
      <c r="L120" s="71">
        <v>10</v>
      </c>
      <c r="M120" s="88">
        <v>29</v>
      </c>
      <c r="N120" s="142"/>
      <c r="O120" s="138">
        <v>1</v>
      </c>
      <c r="P120" s="138">
        <v>9</v>
      </c>
      <c r="Q120" s="141">
        <v>10</v>
      </c>
      <c r="R120" s="140">
        <v>150</v>
      </c>
      <c r="S120" s="143">
        <v>255</v>
      </c>
      <c r="T120" s="147">
        <v>17</v>
      </c>
      <c r="U120" s="151">
        <v>12</v>
      </c>
      <c r="V120" s="148">
        <v>141</v>
      </c>
      <c r="W120" s="152">
        <v>265</v>
      </c>
      <c r="X120" s="140"/>
      <c r="Y120" s="138"/>
      <c r="Z120" s="138">
        <v>10</v>
      </c>
      <c r="AA120" s="143">
        <v>10</v>
      </c>
    </row>
    <row r="121" spans="2:27" ht="15" customHeight="1">
      <c r="B121" s="97" t="s">
        <v>161</v>
      </c>
      <c r="C121" s="20" t="s">
        <v>63</v>
      </c>
      <c r="D121" s="20"/>
      <c r="E121" s="107">
        <v>103</v>
      </c>
      <c r="F121" s="140">
        <v>1478</v>
      </c>
      <c r="G121" s="141">
        <v>2625</v>
      </c>
      <c r="H121" s="140">
        <v>392</v>
      </c>
      <c r="I121" s="138">
        <v>822</v>
      </c>
      <c r="J121" s="138">
        <v>17</v>
      </c>
      <c r="K121" s="138">
        <v>61</v>
      </c>
      <c r="L121" s="71">
        <v>409</v>
      </c>
      <c r="M121" s="88">
        <v>883</v>
      </c>
      <c r="N121" s="142">
        <v>105</v>
      </c>
      <c r="O121" s="138">
        <v>3</v>
      </c>
      <c r="P121" s="138">
        <v>249</v>
      </c>
      <c r="Q121" s="141">
        <v>358</v>
      </c>
      <c r="R121" s="140">
        <v>5363</v>
      </c>
      <c r="S121" s="143">
        <v>7987</v>
      </c>
      <c r="T121" s="147">
        <v>1121</v>
      </c>
      <c r="U121" s="151">
        <v>277</v>
      </c>
      <c r="V121" s="148">
        <v>4732</v>
      </c>
      <c r="W121" s="152">
        <v>7830</v>
      </c>
      <c r="X121" s="140">
        <v>121</v>
      </c>
      <c r="Y121" s="138">
        <v>122</v>
      </c>
      <c r="Z121" s="138">
        <v>460</v>
      </c>
      <c r="AA121" s="143">
        <v>460</v>
      </c>
    </row>
    <row r="122" spans="2:27" ht="15" customHeight="1">
      <c r="B122" s="97" t="s">
        <v>162</v>
      </c>
      <c r="C122" s="20"/>
      <c r="D122" s="20"/>
      <c r="E122" s="33">
        <v>104</v>
      </c>
      <c r="F122" s="140">
        <v>1500</v>
      </c>
      <c r="G122" s="141">
        <v>2870</v>
      </c>
      <c r="H122" s="140">
        <v>299</v>
      </c>
      <c r="I122" s="138">
        <v>667</v>
      </c>
      <c r="J122" s="138">
        <v>24</v>
      </c>
      <c r="K122" s="138">
        <v>92</v>
      </c>
      <c r="L122" s="71">
        <v>323</v>
      </c>
      <c r="M122" s="88">
        <v>759</v>
      </c>
      <c r="N122" s="142">
        <v>91</v>
      </c>
      <c r="O122" s="138">
        <v>1</v>
      </c>
      <c r="P122" s="138">
        <v>310</v>
      </c>
      <c r="Q122" s="141">
        <v>403</v>
      </c>
      <c r="R122" s="140">
        <v>4068</v>
      </c>
      <c r="S122" s="143">
        <v>6347</v>
      </c>
      <c r="T122" s="147">
        <v>874</v>
      </c>
      <c r="U122" s="151">
        <v>244</v>
      </c>
      <c r="V122" s="148">
        <v>3676</v>
      </c>
      <c r="W122" s="152">
        <v>6391</v>
      </c>
      <c r="X122" s="140">
        <v>41</v>
      </c>
      <c r="Y122" s="138">
        <v>41</v>
      </c>
      <c r="Z122" s="138">
        <v>220</v>
      </c>
      <c r="AA122" s="143">
        <v>220</v>
      </c>
    </row>
    <row r="123" spans="2:27" ht="15" customHeight="1">
      <c r="B123" s="97" t="s">
        <v>163</v>
      </c>
      <c r="C123" s="20"/>
      <c r="D123" s="20"/>
      <c r="E123" s="33">
        <v>105</v>
      </c>
      <c r="F123" s="140">
        <v>24</v>
      </c>
      <c r="G123" s="141">
        <v>33</v>
      </c>
      <c r="H123" s="140">
        <v>2</v>
      </c>
      <c r="I123" s="138">
        <v>5</v>
      </c>
      <c r="J123" s="138"/>
      <c r="K123" s="138">
        <v>2</v>
      </c>
      <c r="L123" s="71">
        <v>2</v>
      </c>
      <c r="M123" s="88">
        <v>7</v>
      </c>
      <c r="N123" s="142">
        <v>1</v>
      </c>
      <c r="O123" s="138">
        <v>1</v>
      </c>
      <c r="P123" s="138">
        <v>14</v>
      </c>
      <c r="Q123" s="141">
        <v>16</v>
      </c>
      <c r="R123" s="140">
        <v>166</v>
      </c>
      <c r="S123" s="143">
        <v>250</v>
      </c>
      <c r="T123" s="147">
        <v>40</v>
      </c>
      <c r="U123" s="151">
        <v>26</v>
      </c>
      <c r="V123" s="148">
        <v>118</v>
      </c>
      <c r="W123" s="152">
        <v>207</v>
      </c>
      <c r="X123" s="140">
        <v>4</v>
      </c>
      <c r="Y123" s="138">
        <v>4</v>
      </c>
      <c r="Z123" s="138">
        <v>11</v>
      </c>
      <c r="AA123" s="143">
        <v>11</v>
      </c>
    </row>
    <row r="124" spans="2:27" ht="15" customHeight="1">
      <c r="B124" s="97" t="s">
        <v>204</v>
      </c>
      <c r="C124" s="20"/>
      <c r="D124" s="20"/>
      <c r="E124" s="107">
        <v>106</v>
      </c>
      <c r="F124" s="140">
        <v>52</v>
      </c>
      <c r="G124" s="141">
        <v>93</v>
      </c>
      <c r="H124" s="140">
        <v>9</v>
      </c>
      <c r="I124" s="138">
        <v>20</v>
      </c>
      <c r="J124" s="138">
        <v>2</v>
      </c>
      <c r="K124" s="138">
        <v>7</v>
      </c>
      <c r="L124" s="71">
        <v>11</v>
      </c>
      <c r="M124" s="88">
        <v>27</v>
      </c>
      <c r="N124" s="142">
        <v>4</v>
      </c>
      <c r="O124" s="138"/>
      <c r="P124" s="138">
        <v>18</v>
      </c>
      <c r="Q124" s="141">
        <v>22</v>
      </c>
      <c r="R124" s="140">
        <v>535</v>
      </c>
      <c r="S124" s="143">
        <v>740</v>
      </c>
      <c r="T124" s="147">
        <v>109</v>
      </c>
      <c r="U124" s="151">
        <v>50</v>
      </c>
      <c r="V124" s="148">
        <v>409</v>
      </c>
      <c r="W124" s="152">
        <v>630</v>
      </c>
      <c r="X124" s="140">
        <v>5</v>
      </c>
      <c r="Y124" s="138">
        <v>5</v>
      </c>
      <c r="Z124" s="138">
        <v>28</v>
      </c>
      <c r="AA124" s="143">
        <v>28</v>
      </c>
    </row>
    <row r="125" spans="2:27" ht="15" customHeight="1">
      <c r="B125" s="97" t="s">
        <v>205</v>
      </c>
      <c r="C125" s="20"/>
      <c r="D125" s="20"/>
      <c r="E125" s="33">
        <v>107</v>
      </c>
      <c r="F125" s="140">
        <v>40</v>
      </c>
      <c r="G125" s="141">
        <v>58</v>
      </c>
      <c r="H125" s="140">
        <v>10</v>
      </c>
      <c r="I125" s="138">
        <v>14</v>
      </c>
      <c r="J125" s="138"/>
      <c r="K125" s="138">
        <v>1</v>
      </c>
      <c r="L125" s="71">
        <v>10</v>
      </c>
      <c r="M125" s="88">
        <v>15</v>
      </c>
      <c r="N125" s="142">
        <v>7</v>
      </c>
      <c r="O125" s="138"/>
      <c r="P125" s="138">
        <v>21</v>
      </c>
      <c r="Q125" s="141">
        <v>28</v>
      </c>
      <c r="R125" s="140">
        <v>295</v>
      </c>
      <c r="S125" s="143">
        <v>401</v>
      </c>
      <c r="T125" s="147">
        <v>65</v>
      </c>
      <c r="U125" s="151">
        <v>31</v>
      </c>
      <c r="V125" s="148">
        <v>237</v>
      </c>
      <c r="W125" s="152">
        <v>348</v>
      </c>
      <c r="X125" s="140">
        <v>2</v>
      </c>
      <c r="Y125" s="138">
        <v>2</v>
      </c>
      <c r="Z125" s="138">
        <v>24</v>
      </c>
      <c r="AA125" s="143">
        <v>24</v>
      </c>
    </row>
    <row r="126" spans="2:27" ht="15" customHeight="1">
      <c r="B126" s="97" t="s">
        <v>206</v>
      </c>
      <c r="C126" s="20"/>
      <c r="D126" s="20"/>
      <c r="E126" s="33">
        <v>108</v>
      </c>
      <c r="F126" s="140">
        <v>32</v>
      </c>
      <c r="G126" s="141">
        <v>50</v>
      </c>
      <c r="H126" s="140">
        <v>4</v>
      </c>
      <c r="I126" s="138">
        <v>11</v>
      </c>
      <c r="J126" s="138"/>
      <c r="K126" s="138"/>
      <c r="L126" s="71">
        <v>4</v>
      </c>
      <c r="M126" s="88">
        <v>11</v>
      </c>
      <c r="N126" s="142">
        <v>1</v>
      </c>
      <c r="O126" s="138"/>
      <c r="P126" s="138">
        <v>12</v>
      </c>
      <c r="Q126" s="141">
        <v>13</v>
      </c>
      <c r="R126" s="140">
        <v>230</v>
      </c>
      <c r="S126" s="143">
        <v>407</v>
      </c>
      <c r="T126" s="147">
        <v>29</v>
      </c>
      <c r="U126" s="151">
        <v>20</v>
      </c>
      <c r="V126" s="148">
        <v>198</v>
      </c>
      <c r="W126" s="152">
        <v>382</v>
      </c>
      <c r="X126" s="140">
        <v>7</v>
      </c>
      <c r="Y126" s="138">
        <v>7</v>
      </c>
      <c r="Z126" s="138">
        <v>18</v>
      </c>
      <c r="AA126" s="143">
        <v>18</v>
      </c>
    </row>
    <row r="127" spans="2:27" ht="15" customHeight="1">
      <c r="B127" s="97" t="s">
        <v>207</v>
      </c>
      <c r="C127" s="20">
        <v>1</v>
      </c>
      <c r="D127" s="20" t="s">
        <v>47</v>
      </c>
      <c r="E127" s="107">
        <v>109</v>
      </c>
      <c r="F127" s="140">
        <v>305</v>
      </c>
      <c r="G127" s="141">
        <v>622</v>
      </c>
      <c r="H127" s="140">
        <v>68</v>
      </c>
      <c r="I127" s="138">
        <v>138</v>
      </c>
      <c r="J127" s="138">
        <v>4</v>
      </c>
      <c r="K127" s="138">
        <v>18</v>
      </c>
      <c r="L127" s="71">
        <v>72</v>
      </c>
      <c r="M127" s="88">
        <v>156</v>
      </c>
      <c r="N127" s="142">
        <v>7</v>
      </c>
      <c r="O127" s="138">
        <v>1</v>
      </c>
      <c r="P127" s="138">
        <v>69</v>
      </c>
      <c r="Q127" s="141">
        <v>78</v>
      </c>
      <c r="R127" s="140">
        <v>1342</v>
      </c>
      <c r="S127" s="143">
        <v>2173</v>
      </c>
      <c r="T127" s="147">
        <v>259</v>
      </c>
      <c r="U127" s="151">
        <v>116</v>
      </c>
      <c r="V127" s="148">
        <v>1117</v>
      </c>
      <c r="W127" s="152">
        <v>2032</v>
      </c>
      <c r="X127" s="140">
        <v>14</v>
      </c>
      <c r="Y127" s="138">
        <v>15</v>
      </c>
      <c r="Z127" s="138">
        <v>58</v>
      </c>
      <c r="AA127" s="143">
        <v>58</v>
      </c>
    </row>
    <row r="128" spans="2:27" ht="15" customHeight="1">
      <c r="B128" s="97" t="s">
        <v>208</v>
      </c>
      <c r="C128" s="20"/>
      <c r="D128" s="20"/>
      <c r="E128" s="33">
        <v>110</v>
      </c>
      <c r="F128" s="140">
        <v>258</v>
      </c>
      <c r="G128" s="141">
        <v>434</v>
      </c>
      <c r="H128" s="140">
        <v>50</v>
      </c>
      <c r="I128" s="138">
        <v>103</v>
      </c>
      <c r="J128" s="138">
        <v>6</v>
      </c>
      <c r="K128" s="138">
        <v>26</v>
      </c>
      <c r="L128" s="71">
        <v>56</v>
      </c>
      <c r="M128" s="88">
        <v>129</v>
      </c>
      <c r="N128" s="142">
        <v>18</v>
      </c>
      <c r="O128" s="138"/>
      <c r="P128" s="138">
        <v>63</v>
      </c>
      <c r="Q128" s="141">
        <v>82</v>
      </c>
      <c r="R128" s="140">
        <v>991</v>
      </c>
      <c r="S128" s="143">
        <v>1386</v>
      </c>
      <c r="T128" s="147">
        <v>209</v>
      </c>
      <c r="U128" s="151">
        <v>80</v>
      </c>
      <c r="V128" s="148">
        <v>840</v>
      </c>
      <c r="W128" s="152">
        <v>1308</v>
      </c>
      <c r="X128" s="140">
        <v>19</v>
      </c>
      <c r="Y128" s="138">
        <v>19</v>
      </c>
      <c r="Z128" s="138">
        <v>93</v>
      </c>
      <c r="AA128" s="143">
        <v>93</v>
      </c>
    </row>
    <row r="129" spans="2:27" ht="15" customHeight="1">
      <c r="B129" s="97" t="s">
        <v>209</v>
      </c>
      <c r="C129" s="20">
        <v>1</v>
      </c>
      <c r="D129" s="20" t="s">
        <v>52</v>
      </c>
      <c r="E129" s="33">
        <v>111</v>
      </c>
      <c r="F129" s="140">
        <v>152</v>
      </c>
      <c r="G129" s="141">
        <v>299</v>
      </c>
      <c r="H129" s="140">
        <v>47</v>
      </c>
      <c r="I129" s="138">
        <v>92</v>
      </c>
      <c r="J129" s="138">
        <v>2</v>
      </c>
      <c r="K129" s="138">
        <v>9</v>
      </c>
      <c r="L129" s="71">
        <v>49</v>
      </c>
      <c r="M129" s="88">
        <v>101</v>
      </c>
      <c r="N129" s="142">
        <v>12</v>
      </c>
      <c r="O129" s="138"/>
      <c r="P129" s="138">
        <v>23</v>
      </c>
      <c r="Q129" s="141">
        <v>35</v>
      </c>
      <c r="R129" s="140">
        <v>607</v>
      </c>
      <c r="S129" s="143">
        <v>1082</v>
      </c>
      <c r="T129" s="147">
        <v>101</v>
      </c>
      <c r="U129" s="151">
        <v>37</v>
      </c>
      <c r="V129" s="148">
        <v>553</v>
      </c>
      <c r="W129" s="152">
        <v>1080</v>
      </c>
      <c r="X129" s="140">
        <v>10</v>
      </c>
      <c r="Y129" s="138">
        <v>10</v>
      </c>
      <c r="Z129" s="138">
        <v>49</v>
      </c>
      <c r="AA129" s="143">
        <v>49</v>
      </c>
    </row>
    <row r="130" spans="2:27" ht="15" customHeight="1">
      <c r="B130" s="97" t="s">
        <v>210</v>
      </c>
      <c r="C130" s="20">
        <v>1</v>
      </c>
      <c r="D130" s="20" t="s">
        <v>47</v>
      </c>
      <c r="E130" s="107">
        <v>112</v>
      </c>
      <c r="F130" s="140">
        <v>24</v>
      </c>
      <c r="G130" s="141">
        <v>50</v>
      </c>
      <c r="H130" s="140">
        <v>4</v>
      </c>
      <c r="I130" s="138">
        <v>8</v>
      </c>
      <c r="J130" s="138">
        <v>0</v>
      </c>
      <c r="K130" s="138">
        <v>0</v>
      </c>
      <c r="L130" s="71">
        <v>4</v>
      </c>
      <c r="M130" s="88">
        <v>8</v>
      </c>
      <c r="N130" s="142">
        <v>10</v>
      </c>
      <c r="O130" s="138"/>
      <c r="P130" s="138">
        <v>9</v>
      </c>
      <c r="Q130" s="141">
        <v>19</v>
      </c>
      <c r="R130" s="140">
        <v>127</v>
      </c>
      <c r="S130" s="143">
        <v>217</v>
      </c>
      <c r="T130" s="147">
        <v>30</v>
      </c>
      <c r="U130" s="151">
        <v>14</v>
      </c>
      <c r="V130" s="148">
        <v>106</v>
      </c>
      <c r="W130" s="152">
        <v>200</v>
      </c>
      <c r="X130" s="140">
        <v>1</v>
      </c>
      <c r="Y130" s="138">
        <v>1</v>
      </c>
      <c r="Z130" s="138">
        <v>8</v>
      </c>
      <c r="AA130" s="143">
        <v>8</v>
      </c>
    </row>
    <row r="131" spans="2:27" ht="15" customHeight="1">
      <c r="B131" s="97" t="s">
        <v>211</v>
      </c>
      <c r="C131" s="20"/>
      <c r="D131" s="20"/>
      <c r="E131" s="33">
        <v>113</v>
      </c>
      <c r="F131" s="140">
        <v>86</v>
      </c>
      <c r="G131" s="141">
        <v>169</v>
      </c>
      <c r="H131" s="140">
        <v>20</v>
      </c>
      <c r="I131" s="138">
        <v>52</v>
      </c>
      <c r="J131" s="138"/>
      <c r="K131" s="138">
        <v>2</v>
      </c>
      <c r="L131" s="71">
        <v>20</v>
      </c>
      <c r="M131" s="88">
        <v>54</v>
      </c>
      <c r="N131" s="142">
        <v>25</v>
      </c>
      <c r="O131" s="138"/>
      <c r="P131" s="138">
        <v>26</v>
      </c>
      <c r="Q131" s="141">
        <v>51</v>
      </c>
      <c r="R131" s="140">
        <v>404</v>
      </c>
      <c r="S131" s="143">
        <v>630</v>
      </c>
      <c r="T131" s="147">
        <v>80</v>
      </c>
      <c r="U131" s="151">
        <v>43</v>
      </c>
      <c r="V131" s="148">
        <v>352</v>
      </c>
      <c r="W131" s="152">
        <v>612</v>
      </c>
      <c r="X131" s="140">
        <v>3</v>
      </c>
      <c r="Y131" s="138">
        <v>4</v>
      </c>
      <c r="Z131" s="138">
        <v>24</v>
      </c>
      <c r="AA131" s="143">
        <v>24</v>
      </c>
    </row>
    <row r="132" spans="2:27" ht="15" customHeight="1">
      <c r="B132" s="97" t="s">
        <v>212</v>
      </c>
      <c r="C132" s="20">
        <v>1</v>
      </c>
      <c r="D132" s="20" t="s">
        <v>47</v>
      </c>
      <c r="E132" s="33">
        <v>114</v>
      </c>
      <c r="F132" s="140">
        <v>36</v>
      </c>
      <c r="G132" s="141">
        <v>55</v>
      </c>
      <c r="H132" s="140">
        <v>8</v>
      </c>
      <c r="I132" s="138">
        <v>17</v>
      </c>
      <c r="J132" s="138"/>
      <c r="K132" s="138"/>
      <c r="L132" s="71">
        <v>8</v>
      </c>
      <c r="M132" s="88">
        <v>17</v>
      </c>
      <c r="N132" s="142">
        <v>1</v>
      </c>
      <c r="O132" s="138"/>
      <c r="P132" s="138">
        <v>13</v>
      </c>
      <c r="Q132" s="141">
        <v>14</v>
      </c>
      <c r="R132" s="140">
        <v>144</v>
      </c>
      <c r="S132" s="143">
        <v>248</v>
      </c>
      <c r="T132" s="147">
        <v>26</v>
      </c>
      <c r="U132" s="151">
        <v>10</v>
      </c>
      <c r="V132" s="148">
        <v>130</v>
      </c>
      <c r="W132" s="152">
        <v>243</v>
      </c>
      <c r="X132" s="140">
        <v>7</v>
      </c>
      <c r="Y132" s="138">
        <v>7</v>
      </c>
      <c r="Z132" s="138">
        <v>10</v>
      </c>
      <c r="AA132" s="143">
        <v>10</v>
      </c>
    </row>
    <row r="133" spans="2:27" ht="15" customHeight="1">
      <c r="B133" s="97" t="s">
        <v>213</v>
      </c>
      <c r="C133" s="20"/>
      <c r="D133" s="20"/>
      <c r="E133" s="107">
        <v>115</v>
      </c>
      <c r="F133" s="140">
        <v>26</v>
      </c>
      <c r="G133" s="141">
        <v>50</v>
      </c>
      <c r="H133" s="140">
        <v>8</v>
      </c>
      <c r="I133" s="138">
        <v>14</v>
      </c>
      <c r="J133" s="138"/>
      <c r="K133" s="138"/>
      <c r="L133" s="71">
        <v>8</v>
      </c>
      <c r="M133" s="88">
        <v>14</v>
      </c>
      <c r="N133" s="142">
        <v>3</v>
      </c>
      <c r="O133" s="138"/>
      <c r="P133" s="138">
        <v>8</v>
      </c>
      <c r="Q133" s="141">
        <v>11</v>
      </c>
      <c r="R133" s="140">
        <v>431</v>
      </c>
      <c r="S133" s="143">
        <v>601</v>
      </c>
      <c r="T133" s="147">
        <v>103</v>
      </c>
      <c r="U133" s="151">
        <v>34</v>
      </c>
      <c r="V133" s="148">
        <v>313</v>
      </c>
      <c r="W133" s="152">
        <v>489</v>
      </c>
      <c r="X133" s="140">
        <v>6</v>
      </c>
      <c r="Y133" s="138">
        <v>6</v>
      </c>
      <c r="Z133" s="138">
        <v>13</v>
      </c>
      <c r="AA133" s="143">
        <v>13</v>
      </c>
    </row>
    <row r="134" spans="2:27" ht="15" customHeight="1">
      <c r="B134" s="97" t="s">
        <v>214</v>
      </c>
      <c r="C134" s="20">
        <v>1</v>
      </c>
      <c r="D134" s="20" t="s">
        <v>47</v>
      </c>
      <c r="E134" s="33">
        <v>116</v>
      </c>
      <c r="F134" s="140">
        <v>280</v>
      </c>
      <c r="G134" s="141">
        <v>534</v>
      </c>
      <c r="H134" s="140">
        <v>56</v>
      </c>
      <c r="I134" s="138">
        <v>111</v>
      </c>
      <c r="J134" s="138">
        <v>2</v>
      </c>
      <c r="K134" s="138">
        <v>9</v>
      </c>
      <c r="L134" s="71">
        <v>58</v>
      </c>
      <c r="M134" s="88">
        <v>120</v>
      </c>
      <c r="N134" s="142">
        <v>29</v>
      </c>
      <c r="O134" s="138"/>
      <c r="P134" s="138">
        <v>37</v>
      </c>
      <c r="Q134" s="141">
        <v>66</v>
      </c>
      <c r="R134" s="140">
        <v>1121</v>
      </c>
      <c r="S134" s="143">
        <v>1697</v>
      </c>
      <c r="T134" s="147">
        <v>334</v>
      </c>
      <c r="U134" s="151">
        <v>57</v>
      </c>
      <c r="V134" s="148">
        <v>854</v>
      </c>
      <c r="W134" s="152">
        <v>1492</v>
      </c>
      <c r="X134" s="140">
        <v>17</v>
      </c>
      <c r="Y134" s="138">
        <v>18</v>
      </c>
      <c r="Z134" s="138">
        <v>61</v>
      </c>
      <c r="AA134" s="143">
        <v>61</v>
      </c>
    </row>
    <row r="135" spans="2:27" ht="15" customHeight="1">
      <c r="B135" s="97" t="s">
        <v>215</v>
      </c>
      <c r="C135" s="20"/>
      <c r="D135" s="20"/>
      <c r="E135" s="33">
        <v>117</v>
      </c>
      <c r="F135" s="140">
        <v>9</v>
      </c>
      <c r="G135" s="141">
        <v>15</v>
      </c>
      <c r="H135" s="140">
        <v>1</v>
      </c>
      <c r="I135" s="138">
        <v>2</v>
      </c>
      <c r="J135" s="138"/>
      <c r="K135" s="138"/>
      <c r="L135" s="71">
        <v>1</v>
      </c>
      <c r="M135" s="88">
        <v>2</v>
      </c>
      <c r="N135" s="142">
        <v>1</v>
      </c>
      <c r="O135" s="138"/>
      <c r="P135" s="138">
        <v>3</v>
      </c>
      <c r="Q135" s="141">
        <v>4</v>
      </c>
      <c r="R135" s="140">
        <v>65</v>
      </c>
      <c r="S135" s="143">
        <v>107</v>
      </c>
      <c r="T135" s="147">
        <v>11</v>
      </c>
      <c r="U135" s="151">
        <v>3</v>
      </c>
      <c r="V135" s="148">
        <v>56</v>
      </c>
      <c r="W135" s="152">
        <v>99</v>
      </c>
      <c r="X135" s="140">
        <v>1</v>
      </c>
      <c r="Y135" s="138">
        <v>3</v>
      </c>
      <c r="Z135" s="138">
        <v>6</v>
      </c>
      <c r="AA135" s="143">
        <v>6</v>
      </c>
    </row>
    <row r="136" spans="2:27" ht="15" customHeight="1">
      <c r="B136" s="97" t="s">
        <v>216</v>
      </c>
      <c r="C136" s="20"/>
      <c r="D136" s="20"/>
      <c r="E136" s="107">
        <v>118</v>
      </c>
      <c r="F136" s="140">
        <v>39</v>
      </c>
      <c r="G136" s="141">
        <v>52</v>
      </c>
      <c r="H136" s="140">
        <v>5</v>
      </c>
      <c r="I136" s="138">
        <v>11</v>
      </c>
      <c r="J136" s="138"/>
      <c r="K136" s="138"/>
      <c r="L136" s="71">
        <v>5</v>
      </c>
      <c r="M136" s="88">
        <v>11</v>
      </c>
      <c r="N136" s="142">
        <v>5</v>
      </c>
      <c r="O136" s="138"/>
      <c r="P136" s="138">
        <v>6</v>
      </c>
      <c r="Q136" s="141">
        <v>11</v>
      </c>
      <c r="R136" s="140">
        <v>440</v>
      </c>
      <c r="S136" s="143">
        <v>566</v>
      </c>
      <c r="T136" s="147">
        <v>113</v>
      </c>
      <c r="U136" s="151">
        <v>51</v>
      </c>
      <c r="V136" s="148">
        <v>292</v>
      </c>
      <c r="W136" s="152">
        <v>424</v>
      </c>
      <c r="X136" s="140">
        <v>4</v>
      </c>
      <c r="Y136" s="138">
        <v>4</v>
      </c>
      <c r="Z136" s="138">
        <v>18</v>
      </c>
      <c r="AA136" s="143">
        <v>18</v>
      </c>
    </row>
    <row r="137" spans="2:27" ht="15" customHeight="1">
      <c r="B137" s="97" t="s">
        <v>217</v>
      </c>
      <c r="C137" s="20"/>
      <c r="D137" s="20"/>
      <c r="E137" s="33">
        <v>119</v>
      </c>
      <c r="F137" s="140">
        <v>106</v>
      </c>
      <c r="G137" s="141">
        <v>163</v>
      </c>
      <c r="H137" s="140">
        <v>11</v>
      </c>
      <c r="I137" s="138">
        <v>22</v>
      </c>
      <c r="J137" s="138">
        <v>1</v>
      </c>
      <c r="K137" s="138">
        <v>6</v>
      </c>
      <c r="L137" s="71">
        <v>12</v>
      </c>
      <c r="M137" s="88">
        <v>28</v>
      </c>
      <c r="N137" s="142">
        <v>19</v>
      </c>
      <c r="O137" s="138"/>
      <c r="P137" s="138">
        <v>36</v>
      </c>
      <c r="Q137" s="141">
        <v>55</v>
      </c>
      <c r="R137" s="140">
        <v>941</v>
      </c>
      <c r="S137" s="143">
        <v>1167</v>
      </c>
      <c r="T137" s="147">
        <v>206</v>
      </c>
      <c r="U137" s="151">
        <v>105</v>
      </c>
      <c r="V137" s="148">
        <v>697</v>
      </c>
      <c r="W137" s="152">
        <v>939</v>
      </c>
      <c r="X137" s="140">
        <v>13</v>
      </c>
      <c r="Y137" s="138">
        <v>13</v>
      </c>
      <c r="Z137" s="138">
        <v>38</v>
      </c>
      <c r="AA137" s="143">
        <v>38</v>
      </c>
    </row>
    <row r="138" spans="2:27" ht="15" customHeight="1">
      <c r="B138" s="97" t="s">
        <v>218</v>
      </c>
      <c r="C138" s="20">
        <v>1</v>
      </c>
      <c r="D138" s="20" t="s">
        <v>52</v>
      </c>
      <c r="E138" s="33">
        <v>120</v>
      </c>
      <c r="F138" s="140">
        <v>3</v>
      </c>
      <c r="G138" s="141">
        <v>3</v>
      </c>
      <c r="H138" s="140"/>
      <c r="I138" s="138">
        <v>1</v>
      </c>
      <c r="J138" s="138"/>
      <c r="K138" s="138"/>
      <c r="L138" s="71">
        <v>0</v>
      </c>
      <c r="M138" s="88">
        <v>1</v>
      </c>
      <c r="N138" s="142">
        <v>3</v>
      </c>
      <c r="O138" s="138"/>
      <c r="P138" s="138">
        <v>6</v>
      </c>
      <c r="Q138" s="141">
        <v>9</v>
      </c>
      <c r="R138" s="140">
        <v>34</v>
      </c>
      <c r="S138" s="143">
        <v>56</v>
      </c>
      <c r="T138" s="147">
        <v>10</v>
      </c>
      <c r="U138" s="151">
        <v>3</v>
      </c>
      <c r="V138" s="148">
        <v>30</v>
      </c>
      <c r="W138" s="152">
        <v>53</v>
      </c>
      <c r="X138" s="140"/>
      <c r="Y138" s="138"/>
      <c r="Z138" s="138"/>
      <c r="AA138" s="143"/>
    </row>
    <row r="139" spans="2:27" ht="15" customHeight="1">
      <c r="B139" s="97" t="s">
        <v>219</v>
      </c>
      <c r="C139" s="20">
        <v>1</v>
      </c>
      <c r="D139" s="20" t="s">
        <v>47</v>
      </c>
      <c r="E139" s="107">
        <v>121</v>
      </c>
      <c r="F139" s="140">
        <v>15</v>
      </c>
      <c r="G139" s="141">
        <v>26</v>
      </c>
      <c r="H139" s="140">
        <v>5</v>
      </c>
      <c r="I139" s="138">
        <v>9</v>
      </c>
      <c r="J139" s="138"/>
      <c r="K139" s="138">
        <v>1</v>
      </c>
      <c r="L139" s="71">
        <v>5</v>
      </c>
      <c r="M139" s="88">
        <v>10</v>
      </c>
      <c r="N139" s="142">
        <v>1</v>
      </c>
      <c r="O139" s="138"/>
      <c r="P139" s="138">
        <v>8</v>
      </c>
      <c r="Q139" s="141">
        <v>9</v>
      </c>
      <c r="R139" s="140">
        <v>93</v>
      </c>
      <c r="S139" s="143">
        <v>158</v>
      </c>
      <c r="T139" s="147">
        <v>16</v>
      </c>
      <c r="U139" s="151">
        <v>3</v>
      </c>
      <c r="V139" s="148">
        <v>88</v>
      </c>
      <c r="W139" s="152">
        <v>158</v>
      </c>
      <c r="X139" s="140"/>
      <c r="Y139" s="138"/>
      <c r="Z139" s="138">
        <v>4</v>
      </c>
      <c r="AA139" s="143">
        <v>4</v>
      </c>
    </row>
    <row r="140" spans="2:27" ht="15" customHeight="1">
      <c r="B140" s="97" t="s">
        <v>220</v>
      </c>
      <c r="C140" s="20">
        <v>1</v>
      </c>
      <c r="D140" s="20" t="s">
        <v>52</v>
      </c>
      <c r="E140" s="33">
        <v>122</v>
      </c>
      <c r="F140" s="140">
        <v>12</v>
      </c>
      <c r="G140" s="141">
        <v>20</v>
      </c>
      <c r="H140" s="140">
        <v>2</v>
      </c>
      <c r="I140" s="138">
        <v>4</v>
      </c>
      <c r="J140" s="138"/>
      <c r="K140" s="138"/>
      <c r="L140" s="71">
        <v>2</v>
      </c>
      <c r="M140" s="88">
        <v>4</v>
      </c>
      <c r="N140" s="142">
        <v>5</v>
      </c>
      <c r="O140" s="138"/>
      <c r="P140" s="138">
        <v>2</v>
      </c>
      <c r="Q140" s="141">
        <v>7</v>
      </c>
      <c r="R140" s="140">
        <v>161</v>
      </c>
      <c r="S140" s="143">
        <v>247</v>
      </c>
      <c r="T140" s="147">
        <v>27</v>
      </c>
      <c r="U140" s="151">
        <v>14</v>
      </c>
      <c r="V140" s="148">
        <v>129</v>
      </c>
      <c r="W140" s="152">
        <v>217</v>
      </c>
      <c r="X140" s="140"/>
      <c r="Y140" s="138"/>
      <c r="Z140" s="138">
        <v>9</v>
      </c>
      <c r="AA140" s="143">
        <v>9</v>
      </c>
    </row>
    <row r="141" spans="2:27" ht="15" customHeight="1">
      <c r="B141" s="97" t="s">
        <v>221</v>
      </c>
      <c r="C141" s="20">
        <v>1</v>
      </c>
      <c r="D141" s="20" t="s">
        <v>47</v>
      </c>
      <c r="E141" s="33">
        <v>123</v>
      </c>
      <c r="F141" s="140">
        <v>4</v>
      </c>
      <c r="G141" s="141">
        <v>9</v>
      </c>
      <c r="H141" s="140">
        <v>1</v>
      </c>
      <c r="I141" s="138">
        <v>2</v>
      </c>
      <c r="J141" s="138"/>
      <c r="K141" s="138"/>
      <c r="L141" s="71">
        <v>1</v>
      </c>
      <c r="M141" s="88">
        <v>2</v>
      </c>
      <c r="N141" s="142"/>
      <c r="O141" s="138"/>
      <c r="P141" s="138">
        <v>2</v>
      </c>
      <c r="Q141" s="141">
        <v>2</v>
      </c>
      <c r="R141" s="140">
        <v>39</v>
      </c>
      <c r="S141" s="143">
        <v>79</v>
      </c>
      <c r="T141" s="147">
        <v>2</v>
      </c>
      <c r="U141" s="151">
        <v>3</v>
      </c>
      <c r="V141" s="148">
        <v>37</v>
      </c>
      <c r="W141" s="152">
        <v>78</v>
      </c>
      <c r="X141" s="140"/>
      <c r="Y141" s="138"/>
      <c r="Z141" s="138">
        <v>2</v>
      </c>
      <c r="AA141" s="143">
        <v>2</v>
      </c>
    </row>
    <row r="142" spans="2:27" ht="15" customHeight="1">
      <c r="B142" s="97" t="s">
        <v>222</v>
      </c>
      <c r="C142" s="20"/>
      <c r="D142" s="20"/>
      <c r="E142" s="107">
        <v>124</v>
      </c>
      <c r="F142" s="140">
        <v>193</v>
      </c>
      <c r="G142" s="141">
        <v>345</v>
      </c>
      <c r="H142" s="140">
        <v>42</v>
      </c>
      <c r="I142" s="138">
        <v>95</v>
      </c>
      <c r="J142" s="138">
        <v>2</v>
      </c>
      <c r="K142" s="138">
        <v>9</v>
      </c>
      <c r="L142" s="71">
        <v>44</v>
      </c>
      <c r="M142" s="88">
        <v>104</v>
      </c>
      <c r="N142" s="142">
        <v>5</v>
      </c>
      <c r="O142" s="138"/>
      <c r="P142" s="138">
        <v>34</v>
      </c>
      <c r="Q142" s="141">
        <v>40</v>
      </c>
      <c r="R142" s="140">
        <v>756</v>
      </c>
      <c r="S142" s="143">
        <v>1134</v>
      </c>
      <c r="T142" s="147">
        <v>130</v>
      </c>
      <c r="U142" s="151">
        <v>70</v>
      </c>
      <c r="V142" s="148">
        <v>640</v>
      </c>
      <c r="W142" s="152">
        <v>1078</v>
      </c>
      <c r="X142" s="140">
        <v>19</v>
      </c>
      <c r="Y142" s="138">
        <v>19</v>
      </c>
      <c r="Z142" s="138">
        <v>52</v>
      </c>
      <c r="AA142" s="143">
        <v>52</v>
      </c>
    </row>
    <row r="143" spans="2:27" ht="15" customHeight="1">
      <c r="B143" s="97" t="s">
        <v>223</v>
      </c>
      <c r="C143" s="20">
        <v>1</v>
      </c>
      <c r="D143" s="20" t="s">
        <v>52</v>
      </c>
      <c r="E143" s="33">
        <v>125</v>
      </c>
      <c r="F143" s="140">
        <v>8</v>
      </c>
      <c r="G143" s="141">
        <v>11</v>
      </c>
      <c r="H143" s="140">
        <v>1</v>
      </c>
      <c r="I143" s="138">
        <v>1</v>
      </c>
      <c r="J143" s="138">
        <v>1</v>
      </c>
      <c r="K143" s="138">
        <v>1</v>
      </c>
      <c r="L143" s="71">
        <v>2</v>
      </c>
      <c r="M143" s="88">
        <v>2</v>
      </c>
      <c r="N143" s="142"/>
      <c r="O143" s="138"/>
      <c r="P143" s="138"/>
      <c r="Q143" s="141">
        <v>1</v>
      </c>
      <c r="R143" s="140">
        <v>105</v>
      </c>
      <c r="S143" s="143">
        <v>161</v>
      </c>
      <c r="T143" s="147">
        <v>19</v>
      </c>
      <c r="U143" s="151">
        <v>8</v>
      </c>
      <c r="V143" s="148">
        <v>81</v>
      </c>
      <c r="W143" s="152">
        <v>137</v>
      </c>
      <c r="X143" s="140"/>
      <c r="Y143" s="138"/>
      <c r="Z143" s="138">
        <v>53</v>
      </c>
      <c r="AA143" s="143">
        <v>53</v>
      </c>
    </row>
    <row r="144" spans="2:27" ht="15" customHeight="1">
      <c r="B144" s="97" t="s">
        <v>224</v>
      </c>
      <c r="C144" s="20"/>
      <c r="D144" s="20"/>
      <c r="E144" s="33">
        <v>126</v>
      </c>
      <c r="F144" s="140">
        <v>283</v>
      </c>
      <c r="G144" s="141">
        <v>478</v>
      </c>
      <c r="H144" s="140">
        <v>57</v>
      </c>
      <c r="I144" s="138">
        <v>121</v>
      </c>
      <c r="J144" s="138">
        <v>3</v>
      </c>
      <c r="K144" s="138">
        <v>13</v>
      </c>
      <c r="L144" s="71">
        <v>60</v>
      </c>
      <c r="M144" s="88">
        <v>134</v>
      </c>
      <c r="N144" s="142">
        <v>35</v>
      </c>
      <c r="O144" s="138"/>
      <c r="P144" s="138">
        <v>53</v>
      </c>
      <c r="Q144" s="141">
        <v>88</v>
      </c>
      <c r="R144" s="140">
        <v>1666</v>
      </c>
      <c r="S144" s="143">
        <v>2324</v>
      </c>
      <c r="T144" s="147">
        <v>327</v>
      </c>
      <c r="U144" s="151">
        <v>182</v>
      </c>
      <c r="V144" s="148">
        <v>1305</v>
      </c>
      <c r="W144" s="152">
        <v>2037</v>
      </c>
      <c r="X144" s="140">
        <v>16</v>
      </c>
      <c r="Y144" s="138">
        <v>16</v>
      </c>
      <c r="Z144" s="138">
        <v>99</v>
      </c>
      <c r="AA144" s="143">
        <v>99</v>
      </c>
    </row>
    <row r="145" spans="2:27" ht="15" customHeight="1">
      <c r="B145" s="97" t="s">
        <v>225</v>
      </c>
      <c r="C145" s="20">
        <v>1</v>
      </c>
      <c r="D145" s="20" t="s">
        <v>52</v>
      </c>
      <c r="E145" s="107">
        <v>127</v>
      </c>
      <c r="F145" s="140">
        <v>6</v>
      </c>
      <c r="G145" s="141">
        <v>14</v>
      </c>
      <c r="H145" s="140">
        <v>1</v>
      </c>
      <c r="I145" s="138">
        <v>4</v>
      </c>
      <c r="J145" s="138">
        <v>1</v>
      </c>
      <c r="K145" s="138">
        <v>4</v>
      </c>
      <c r="L145" s="71">
        <v>2</v>
      </c>
      <c r="M145" s="88">
        <v>8</v>
      </c>
      <c r="N145" s="142"/>
      <c r="O145" s="138"/>
      <c r="P145" s="138"/>
      <c r="Q145" s="141"/>
      <c r="R145" s="140">
        <v>68</v>
      </c>
      <c r="S145" s="143">
        <v>135</v>
      </c>
      <c r="T145" s="147">
        <v>6</v>
      </c>
      <c r="U145" s="151">
        <v>6</v>
      </c>
      <c r="V145" s="148">
        <v>58</v>
      </c>
      <c r="W145" s="152">
        <v>131</v>
      </c>
      <c r="X145" s="140"/>
      <c r="Y145" s="138"/>
      <c r="Z145" s="138">
        <v>3</v>
      </c>
      <c r="AA145" s="143">
        <v>3</v>
      </c>
    </row>
    <row r="146" spans="2:27" ht="15" customHeight="1">
      <c r="B146" s="97" t="s">
        <v>226</v>
      </c>
      <c r="C146" s="20"/>
      <c r="D146" s="20"/>
      <c r="E146" s="33">
        <v>128</v>
      </c>
      <c r="F146" s="140">
        <v>53</v>
      </c>
      <c r="G146" s="141">
        <v>73</v>
      </c>
      <c r="H146" s="140">
        <v>9</v>
      </c>
      <c r="I146" s="138">
        <v>18</v>
      </c>
      <c r="J146" s="138"/>
      <c r="K146" s="138"/>
      <c r="L146" s="71">
        <v>9</v>
      </c>
      <c r="M146" s="88">
        <v>18</v>
      </c>
      <c r="N146" s="142">
        <v>12</v>
      </c>
      <c r="O146" s="138"/>
      <c r="P146" s="138">
        <v>18</v>
      </c>
      <c r="Q146" s="141">
        <v>30</v>
      </c>
      <c r="R146" s="140">
        <v>493</v>
      </c>
      <c r="S146" s="143">
        <v>670</v>
      </c>
      <c r="T146" s="147">
        <v>105</v>
      </c>
      <c r="U146" s="151">
        <v>36</v>
      </c>
      <c r="V146" s="148">
        <v>391</v>
      </c>
      <c r="W146" s="152">
        <v>577</v>
      </c>
      <c r="X146" s="140">
        <v>4</v>
      </c>
      <c r="Y146" s="138">
        <v>4</v>
      </c>
      <c r="Z146" s="138">
        <v>24</v>
      </c>
      <c r="AA146" s="143">
        <v>24</v>
      </c>
    </row>
    <row r="147" spans="2:27" ht="15" customHeight="1">
      <c r="B147" s="97" t="s">
        <v>227</v>
      </c>
      <c r="C147" s="20"/>
      <c r="D147" s="20"/>
      <c r="E147" s="33">
        <v>129</v>
      </c>
      <c r="F147" s="140">
        <v>35</v>
      </c>
      <c r="G147" s="141">
        <v>56</v>
      </c>
      <c r="H147" s="140">
        <v>7</v>
      </c>
      <c r="I147" s="138">
        <v>15</v>
      </c>
      <c r="J147" s="138">
        <v>1</v>
      </c>
      <c r="K147" s="138">
        <v>5</v>
      </c>
      <c r="L147" s="71">
        <v>8</v>
      </c>
      <c r="M147" s="88">
        <v>20</v>
      </c>
      <c r="N147" s="142">
        <v>3</v>
      </c>
      <c r="O147" s="138"/>
      <c r="P147" s="138">
        <v>8</v>
      </c>
      <c r="Q147" s="141">
        <v>12</v>
      </c>
      <c r="R147" s="140">
        <v>189</v>
      </c>
      <c r="S147" s="143">
        <v>282</v>
      </c>
      <c r="T147" s="147">
        <v>40</v>
      </c>
      <c r="U147" s="151">
        <v>21</v>
      </c>
      <c r="V147" s="148">
        <v>148</v>
      </c>
      <c r="W147" s="152">
        <v>253</v>
      </c>
      <c r="X147" s="140">
        <v>1</v>
      </c>
      <c r="Y147" s="138">
        <v>1</v>
      </c>
      <c r="Z147" s="138">
        <v>13</v>
      </c>
      <c r="AA147" s="143">
        <v>13</v>
      </c>
    </row>
    <row r="148" spans="2:27" ht="15" customHeight="1">
      <c r="B148" s="97" t="s">
        <v>228</v>
      </c>
      <c r="C148" s="20"/>
      <c r="D148" s="20"/>
      <c r="E148" s="33">
        <v>132</v>
      </c>
      <c r="F148" s="140">
        <v>78</v>
      </c>
      <c r="G148" s="141">
        <v>116</v>
      </c>
      <c r="H148" s="140">
        <v>19</v>
      </c>
      <c r="I148" s="138">
        <v>37</v>
      </c>
      <c r="J148" s="138"/>
      <c r="K148" s="138">
        <v>2</v>
      </c>
      <c r="L148" s="71">
        <v>19</v>
      </c>
      <c r="M148" s="88">
        <v>39</v>
      </c>
      <c r="N148" s="142">
        <v>20</v>
      </c>
      <c r="O148" s="138">
        <v>1</v>
      </c>
      <c r="P148" s="138">
        <v>24</v>
      </c>
      <c r="Q148" s="141">
        <v>45</v>
      </c>
      <c r="R148" s="140">
        <v>625</v>
      </c>
      <c r="S148" s="143">
        <v>886</v>
      </c>
      <c r="T148" s="147">
        <v>122</v>
      </c>
      <c r="U148" s="151">
        <v>57</v>
      </c>
      <c r="V148" s="148">
        <v>510</v>
      </c>
      <c r="W148" s="152">
        <v>791</v>
      </c>
      <c r="X148" s="140">
        <v>7</v>
      </c>
      <c r="Y148" s="138">
        <v>7</v>
      </c>
      <c r="Z148" s="138">
        <v>39</v>
      </c>
      <c r="AA148" s="143">
        <v>39</v>
      </c>
    </row>
    <row r="149" spans="2:27" ht="15" customHeight="1">
      <c r="B149" s="97" t="s">
        <v>229</v>
      </c>
      <c r="C149" s="20"/>
      <c r="D149" s="20"/>
      <c r="E149" s="107">
        <v>130</v>
      </c>
      <c r="F149" s="140">
        <v>44</v>
      </c>
      <c r="G149" s="141">
        <v>78</v>
      </c>
      <c r="H149" s="140">
        <v>11</v>
      </c>
      <c r="I149" s="138">
        <v>20</v>
      </c>
      <c r="J149" s="138"/>
      <c r="K149" s="138"/>
      <c r="L149" s="71">
        <v>11</v>
      </c>
      <c r="M149" s="88">
        <v>20</v>
      </c>
      <c r="N149" s="142">
        <v>13</v>
      </c>
      <c r="O149" s="138"/>
      <c r="P149" s="138">
        <v>35</v>
      </c>
      <c r="Q149" s="141">
        <v>50</v>
      </c>
      <c r="R149" s="140">
        <v>1668</v>
      </c>
      <c r="S149" s="143">
        <v>1858</v>
      </c>
      <c r="T149" s="147">
        <v>627</v>
      </c>
      <c r="U149" s="151">
        <v>105</v>
      </c>
      <c r="V149" s="148">
        <v>997</v>
      </c>
      <c r="W149" s="152">
        <v>1196</v>
      </c>
      <c r="X149" s="140"/>
      <c r="Y149" s="138"/>
      <c r="Z149" s="138">
        <v>17</v>
      </c>
      <c r="AA149" s="143">
        <v>17</v>
      </c>
    </row>
    <row r="150" spans="2:27" ht="15" customHeight="1">
      <c r="B150" s="97" t="s">
        <v>230</v>
      </c>
      <c r="C150" s="20"/>
      <c r="D150" s="20"/>
      <c r="E150" s="33">
        <v>131</v>
      </c>
      <c r="F150" s="140">
        <v>304</v>
      </c>
      <c r="G150" s="141">
        <v>546</v>
      </c>
      <c r="H150" s="140">
        <v>75</v>
      </c>
      <c r="I150" s="138">
        <v>148</v>
      </c>
      <c r="J150" s="138">
        <v>8</v>
      </c>
      <c r="K150" s="138">
        <v>28</v>
      </c>
      <c r="L150" s="71">
        <v>83</v>
      </c>
      <c r="M150" s="88">
        <v>176</v>
      </c>
      <c r="N150" s="142">
        <v>16</v>
      </c>
      <c r="O150" s="138">
        <v>2</v>
      </c>
      <c r="P150" s="138">
        <v>50</v>
      </c>
      <c r="Q150" s="141">
        <v>69</v>
      </c>
      <c r="R150" s="140">
        <v>1609</v>
      </c>
      <c r="S150" s="143">
        <v>2335</v>
      </c>
      <c r="T150" s="147">
        <v>342</v>
      </c>
      <c r="U150" s="151">
        <v>164</v>
      </c>
      <c r="V150" s="148">
        <v>1255</v>
      </c>
      <c r="W150" s="152">
        <v>2074</v>
      </c>
      <c r="X150" s="140">
        <v>19</v>
      </c>
      <c r="Y150" s="138">
        <v>19</v>
      </c>
      <c r="Z150" s="138">
        <v>112</v>
      </c>
      <c r="AA150" s="143">
        <v>112</v>
      </c>
    </row>
    <row r="151" spans="2:27" ht="15" customHeight="1">
      <c r="B151" s="97" t="s">
        <v>231</v>
      </c>
      <c r="C151" s="20">
        <v>1</v>
      </c>
      <c r="D151" s="20" t="s">
        <v>47</v>
      </c>
      <c r="E151" s="107">
        <v>133</v>
      </c>
      <c r="F151" s="140">
        <v>58</v>
      </c>
      <c r="G151" s="141">
        <v>123</v>
      </c>
      <c r="H151" s="140">
        <v>16</v>
      </c>
      <c r="I151" s="138">
        <v>29</v>
      </c>
      <c r="J151" s="138">
        <v>2</v>
      </c>
      <c r="K151" s="138">
        <v>11</v>
      </c>
      <c r="L151" s="71">
        <v>18</v>
      </c>
      <c r="M151" s="88">
        <v>40</v>
      </c>
      <c r="N151" s="142">
        <v>4</v>
      </c>
      <c r="O151" s="138"/>
      <c r="P151" s="138">
        <v>12</v>
      </c>
      <c r="Q151" s="141">
        <v>17</v>
      </c>
      <c r="R151" s="140">
        <v>195</v>
      </c>
      <c r="S151" s="143">
        <v>321</v>
      </c>
      <c r="T151" s="147">
        <v>39</v>
      </c>
      <c r="U151" s="151">
        <v>9</v>
      </c>
      <c r="V151" s="148">
        <v>182</v>
      </c>
      <c r="W151" s="152">
        <v>330</v>
      </c>
      <c r="X151" s="140"/>
      <c r="Y151" s="138"/>
      <c r="Z151" s="138">
        <v>16</v>
      </c>
      <c r="AA151" s="143">
        <v>16</v>
      </c>
    </row>
    <row r="152" spans="2:27" ht="15" customHeight="1">
      <c r="B152" s="97" t="s">
        <v>232</v>
      </c>
      <c r="C152" s="20"/>
      <c r="D152" s="20"/>
      <c r="E152" s="33">
        <v>134</v>
      </c>
      <c r="F152" s="140">
        <v>131</v>
      </c>
      <c r="G152" s="141">
        <v>233</v>
      </c>
      <c r="H152" s="140">
        <v>39</v>
      </c>
      <c r="I152" s="138">
        <v>75</v>
      </c>
      <c r="J152" s="138">
        <v>2</v>
      </c>
      <c r="K152" s="138">
        <v>7</v>
      </c>
      <c r="L152" s="71">
        <v>41</v>
      </c>
      <c r="M152" s="88">
        <v>82</v>
      </c>
      <c r="N152" s="142">
        <v>5</v>
      </c>
      <c r="O152" s="138"/>
      <c r="P152" s="138">
        <v>22</v>
      </c>
      <c r="Q152" s="141">
        <v>26</v>
      </c>
      <c r="R152" s="140">
        <v>671</v>
      </c>
      <c r="S152" s="143">
        <v>1056</v>
      </c>
      <c r="T152" s="147">
        <v>125</v>
      </c>
      <c r="U152" s="151">
        <v>43</v>
      </c>
      <c r="V152" s="148">
        <v>570</v>
      </c>
      <c r="W152" s="152">
        <v>996</v>
      </c>
      <c r="X152" s="140">
        <v>6</v>
      </c>
      <c r="Y152" s="138">
        <v>6</v>
      </c>
      <c r="Z152" s="138">
        <v>38</v>
      </c>
      <c r="AA152" s="143">
        <v>38</v>
      </c>
    </row>
    <row r="153" spans="2:27" ht="15" customHeight="1">
      <c r="B153" s="97" t="s">
        <v>233</v>
      </c>
      <c r="C153" s="20" t="s">
        <v>63</v>
      </c>
      <c r="D153" s="20"/>
      <c r="E153" s="33">
        <v>135</v>
      </c>
      <c r="F153" s="140">
        <v>1775</v>
      </c>
      <c r="G153" s="141">
        <v>2884</v>
      </c>
      <c r="H153" s="140">
        <v>363</v>
      </c>
      <c r="I153" s="138">
        <v>679</v>
      </c>
      <c r="J153" s="138">
        <v>12</v>
      </c>
      <c r="K153" s="138">
        <v>45</v>
      </c>
      <c r="L153" s="71">
        <v>375</v>
      </c>
      <c r="M153" s="88">
        <v>724</v>
      </c>
      <c r="N153" s="142">
        <v>341</v>
      </c>
      <c r="O153" s="138">
        <v>3</v>
      </c>
      <c r="P153" s="138">
        <v>265</v>
      </c>
      <c r="Q153" s="141">
        <v>610</v>
      </c>
      <c r="R153" s="140">
        <v>7435</v>
      </c>
      <c r="S153" s="143">
        <v>10935</v>
      </c>
      <c r="T153" s="147">
        <v>1479</v>
      </c>
      <c r="U153" s="151">
        <v>288</v>
      </c>
      <c r="V153" s="148">
        <v>6653</v>
      </c>
      <c r="W153" s="152">
        <v>10502</v>
      </c>
      <c r="X153" s="140">
        <v>136</v>
      </c>
      <c r="Y153" s="138">
        <v>136</v>
      </c>
      <c r="Z153" s="138">
        <v>533</v>
      </c>
      <c r="AA153" s="143">
        <v>534</v>
      </c>
    </row>
    <row r="154" spans="2:27" ht="15" customHeight="1">
      <c r="B154" s="97" t="s">
        <v>234</v>
      </c>
      <c r="C154" s="20">
        <v>1</v>
      </c>
      <c r="D154" s="20" t="s">
        <v>47</v>
      </c>
      <c r="E154" s="107">
        <v>136</v>
      </c>
      <c r="F154" s="140">
        <v>47</v>
      </c>
      <c r="G154" s="141">
        <v>86</v>
      </c>
      <c r="H154" s="140">
        <v>15</v>
      </c>
      <c r="I154" s="138">
        <v>25</v>
      </c>
      <c r="J154" s="138"/>
      <c r="K154" s="138">
        <v>1</v>
      </c>
      <c r="L154" s="71">
        <v>15</v>
      </c>
      <c r="M154" s="88">
        <v>26</v>
      </c>
      <c r="N154" s="142"/>
      <c r="O154" s="138"/>
      <c r="P154" s="138">
        <v>11</v>
      </c>
      <c r="Q154" s="141">
        <v>11</v>
      </c>
      <c r="R154" s="140">
        <v>165</v>
      </c>
      <c r="S154" s="143">
        <v>293</v>
      </c>
      <c r="T154" s="147">
        <v>26</v>
      </c>
      <c r="U154" s="151">
        <v>11</v>
      </c>
      <c r="V154" s="148">
        <v>154</v>
      </c>
      <c r="W154" s="152">
        <v>293</v>
      </c>
      <c r="X154" s="140">
        <v>1</v>
      </c>
      <c r="Y154" s="138">
        <v>1</v>
      </c>
      <c r="Z154" s="138">
        <v>11</v>
      </c>
      <c r="AA154" s="143">
        <v>11</v>
      </c>
    </row>
    <row r="155" spans="2:27" ht="15" customHeight="1">
      <c r="B155" s="97" t="s">
        <v>235</v>
      </c>
      <c r="C155" s="20"/>
      <c r="D155" s="20"/>
      <c r="E155" s="33">
        <v>137</v>
      </c>
      <c r="F155" s="140">
        <v>209</v>
      </c>
      <c r="G155" s="141">
        <v>379</v>
      </c>
      <c r="H155" s="140">
        <v>48</v>
      </c>
      <c r="I155" s="138">
        <v>106</v>
      </c>
      <c r="J155" s="138">
        <v>4</v>
      </c>
      <c r="K155" s="138">
        <v>15</v>
      </c>
      <c r="L155" s="71">
        <v>52</v>
      </c>
      <c r="M155" s="88">
        <v>121</v>
      </c>
      <c r="N155" s="142">
        <v>8</v>
      </c>
      <c r="O155" s="138"/>
      <c r="P155" s="138">
        <v>71</v>
      </c>
      <c r="Q155" s="141">
        <v>79</v>
      </c>
      <c r="R155" s="140">
        <v>1122</v>
      </c>
      <c r="S155" s="143">
        <v>1644</v>
      </c>
      <c r="T155" s="147">
        <v>265</v>
      </c>
      <c r="U155" s="151">
        <v>94</v>
      </c>
      <c r="V155" s="148">
        <v>894</v>
      </c>
      <c r="W155" s="152">
        <v>1485</v>
      </c>
      <c r="X155" s="140">
        <v>10</v>
      </c>
      <c r="Y155" s="138">
        <v>12</v>
      </c>
      <c r="Z155" s="138">
        <v>59</v>
      </c>
      <c r="AA155" s="143">
        <v>59</v>
      </c>
    </row>
    <row r="156" spans="2:27" ht="15" customHeight="1">
      <c r="B156" s="97" t="s">
        <v>0</v>
      </c>
      <c r="C156" s="20"/>
      <c r="D156" s="20"/>
      <c r="E156" s="33">
        <v>138</v>
      </c>
      <c r="F156" s="140">
        <v>583</v>
      </c>
      <c r="G156" s="141">
        <v>1133</v>
      </c>
      <c r="H156" s="140">
        <v>172</v>
      </c>
      <c r="I156" s="138">
        <v>360</v>
      </c>
      <c r="J156" s="138">
        <v>6</v>
      </c>
      <c r="K156" s="138">
        <v>25</v>
      </c>
      <c r="L156" s="71">
        <v>178</v>
      </c>
      <c r="M156" s="88">
        <v>385</v>
      </c>
      <c r="N156" s="142">
        <v>34</v>
      </c>
      <c r="O156" s="138"/>
      <c r="P156" s="138">
        <v>87</v>
      </c>
      <c r="Q156" s="141">
        <v>122</v>
      </c>
      <c r="R156" s="140">
        <v>2577</v>
      </c>
      <c r="S156" s="143">
        <v>4118</v>
      </c>
      <c r="T156" s="147">
        <v>452</v>
      </c>
      <c r="U156" s="151">
        <v>185</v>
      </c>
      <c r="V156" s="148">
        <v>2240</v>
      </c>
      <c r="W156" s="152">
        <v>3988</v>
      </c>
      <c r="X156" s="140">
        <v>40</v>
      </c>
      <c r="Y156" s="138">
        <v>46</v>
      </c>
      <c r="Z156" s="138">
        <v>194</v>
      </c>
      <c r="AA156" s="143">
        <v>194</v>
      </c>
    </row>
    <row r="157" spans="2:27" ht="15" customHeight="1">
      <c r="B157" s="97" t="s">
        <v>1</v>
      </c>
      <c r="C157" s="20"/>
      <c r="D157" s="20"/>
      <c r="E157" s="107">
        <v>139</v>
      </c>
      <c r="F157" s="140">
        <v>50</v>
      </c>
      <c r="G157" s="141">
        <v>88</v>
      </c>
      <c r="H157" s="140">
        <v>13</v>
      </c>
      <c r="I157" s="138">
        <v>22</v>
      </c>
      <c r="J157" s="138"/>
      <c r="K157" s="138">
        <v>2</v>
      </c>
      <c r="L157" s="71">
        <v>13</v>
      </c>
      <c r="M157" s="88">
        <v>24</v>
      </c>
      <c r="N157" s="142">
        <v>3</v>
      </c>
      <c r="O157" s="138"/>
      <c r="P157" s="138">
        <v>19</v>
      </c>
      <c r="Q157" s="141">
        <v>24</v>
      </c>
      <c r="R157" s="140">
        <v>353</v>
      </c>
      <c r="S157" s="143">
        <v>494</v>
      </c>
      <c r="T157" s="147">
        <v>69</v>
      </c>
      <c r="U157" s="151">
        <v>44</v>
      </c>
      <c r="V157" s="148">
        <v>277</v>
      </c>
      <c r="W157" s="152">
        <v>429</v>
      </c>
      <c r="X157" s="140">
        <v>2</v>
      </c>
      <c r="Y157" s="138">
        <v>2</v>
      </c>
      <c r="Z157" s="138">
        <v>9</v>
      </c>
      <c r="AA157" s="143">
        <v>9</v>
      </c>
    </row>
    <row r="158" spans="2:27" ht="15" customHeight="1">
      <c r="B158" s="97" t="s">
        <v>2</v>
      </c>
      <c r="C158" s="20">
        <v>1</v>
      </c>
      <c r="D158" s="20" t="s">
        <v>52</v>
      </c>
      <c r="E158" s="33">
        <v>140</v>
      </c>
      <c r="F158" s="140">
        <v>61</v>
      </c>
      <c r="G158" s="141">
        <v>119</v>
      </c>
      <c r="H158" s="140">
        <v>13</v>
      </c>
      <c r="I158" s="138">
        <v>27</v>
      </c>
      <c r="J158" s="138">
        <v>3</v>
      </c>
      <c r="K158" s="138">
        <v>12</v>
      </c>
      <c r="L158" s="71">
        <v>16</v>
      </c>
      <c r="M158" s="88">
        <v>39</v>
      </c>
      <c r="N158" s="142">
        <v>1</v>
      </c>
      <c r="O158" s="138">
        <v>1</v>
      </c>
      <c r="P158" s="138">
        <v>10</v>
      </c>
      <c r="Q158" s="141">
        <v>12</v>
      </c>
      <c r="R158" s="140">
        <v>340</v>
      </c>
      <c r="S158" s="143">
        <v>564</v>
      </c>
      <c r="T158" s="147">
        <v>53</v>
      </c>
      <c r="U158" s="151">
        <v>50</v>
      </c>
      <c r="V158" s="148">
        <v>265</v>
      </c>
      <c r="W158" s="152">
        <v>512</v>
      </c>
      <c r="X158" s="140">
        <v>3</v>
      </c>
      <c r="Y158" s="138">
        <v>3</v>
      </c>
      <c r="Z158" s="138">
        <v>23</v>
      </c>
      <c r="AA158" s="143">
        <v>23</v>
      </c>
    </row>
    <row r="159" spans="2:27" ht="15" customHeight="1">
      <c r="B159" s="97" t="s">
        <v>3</v>
      </c>
      <c r="C159" s="20">
        <v>1</v>
      </c>
      <c r="D159" s="20" t="s">
        <v>47</v>
      </c>
      <c r="E159" s="33">
        <v>141</v>
      </c>
      <c r="F159" s="140">
        <v>114</v>
      </c>
      <c r="G159" s="141">
        <v>238</v>
      </c>
      <c r="H159" s="140">
        <v>23</v>
      </c>
      <c r="I159" s="138">
        <v>46</v>
      </c>
      <c r="J159" s="138">
        <v>2</v>
      </c>
      <c r="K159" s="138">
        <v>11</v>
      </c>
      <c r="L159" s="71">
        <v>25</v>
      </c>
      <c r="M159" s="88">
        <v>57</v>
      </c>
      <c r="N159" s="142">
        <v>4</v>
      </c>
      <c r="O159" s="138">
        <v>1</v>
      </c>
      <c r="P159" s="138">
        <v>19</v>
      </c>
      <c r="Q159" s="141">
        <v>24</v>
      </c>
      <c r="R159" s="140">
        <v>442</v>
      </c>
      <c r="S159" s="143">
        <v>736</v>
      </c>
      <c r="T159" s="147">
        <v>95</v>
      </c>
      <c r="U159" s="151">
        <v>43</v>
      </c>
      <c r="V159" s="148">
        <v>353</v>
      </c>
      <c r="W159" s="152">
        <v>679</v>
      </c>
      <c r="X159" s="140">
        <v>5</v>
      </c>
      <c r="Y159" s="138">
        <v>5</v>
      </c>
      <c r="Z159" s="138">
        <v>25</v>
      </c>
      <c r="AA159" s="143">
        <v>25</v>
      </c>
    </row>
    <row r="160" spans="2:27" ht="15" customHeight="1">
      <c r="B160" s="97" t="s">
        <v>4</v>
      </c>
      <c r="C160" s="20"/>
      <c r="D160" s="20"/>
      <c r="E160" s="107">
        <v>142</v>
      </c>
      <c r="F160" s="140">
        <v>30</v>
      </c>
      <c r="G160" s="141">
        <v>42</v>
      </c>
      <c r="H160" s="140">
        <v>9</v>
      </c>
      <c r="I160" s="138">
        <v>16</v>
      </c>
      <c r="J160" s="138"/>
      <c r="K160" s="138">
        <v>3</v>
      </c>
      <c r="L160" s="71">
        <v>9</v>
      </c>
      <c r="M160" s="88">
        <v>19</v>
      </c>
      <c r="N160" s="142">
        <v>5</v>
      </c>
      <c r="O160" s="138"/>
      <c r="P160" s="138">
        <v>13</v>
      </c>
      <c r="Q160" s="141">
        <v>18</v>
      </c>
      <c r="R160" s="140">
        <v>288</v>
      </c>
      <c r="S160" s="143">
        <v>414</v>
      </c>
      <c r="T160" s="147">
        <v>52</v>
      </c>
      <c r="U160" s="151">
        <v>29</v>
      </c>
      <c r="V160" s="148">
        <v>234</v>
      </c>
      <c r="W160" s="152">
        <v>370</v>
      </c>
      <c r="X160" s="140">
        <v>3</v>
      </c>
      <c r="Y160" s="138">
        <v>4</v>
      </c>
      <c r="Z160" s="138">
        <v>15</v>
      </c>
      <c r="AA160" s="143">
        <v>15</v>
      </c>
    </row>
    <row r="161" spans="2:27" ht="15" customHeight="1">
      <c r="B161" s="97" t="s">
        <v>5</v>
      </c>
      <c r="C161" s="20"/>
      <c r="D161" s="20"/>
      <c r="E161" s="33">
        <v>143</v>
      </c>
      <c r="F161" s="140">
        <v>881</v>
      </c>
      <c r="G161" s="141">
        <v>1553</v>
      </c>
      <c r="H161" s="140">
        <v>172</v>
      </c>
      <c r="I161" s="138">
        <v>374</v>
      </c>
      <c r="J161" s="138">
        <v>17</v>
      </c>
      <c r="K161" s="138">
        <v>64</v>
      </c>
      <c r="L161" s="71">
        <v>189</v>
      </c>
      <c r="M161" s="88">
        <v>438</v>
      </c>
      <c r="N161" s="142">
        <v>30</v>
      </c>
      <c r="O161" s="138">
        <v>2</v>
      </c>
      <c r="P161" s="138">
        <v>236</v>
      </c>
      <c r="Q161" s="141">
        <v>269</v>
      </c>
      <c r="R161" s="140">
        <v>3429</v>
      </c>
      <c r="S161" s="143">
        <v>5200</v>
      </c>
      <c r="T161" s="147">
        <v>781</v>
      </c>
      <c r="U161" s="151">
        <v>285</v>
      </c>
      <c r="V161" s="148">
        <v>2821</v>
      </c>
      <c r="W161" s="152">
        <v>4841</v>
      </c>
      <c r="X161" s="140">
        <v>47</v>
      </c>
      <c r="Y161" s="138">
        <v>47</v>
      </c>
      <c r="Z161" s="138">
        <v>313</v>
      </c>
      <c r="AA161" s="143">
        <v>313</v>
      </c>
    </row>
    <row r="162" spans="2:27" ht="15" customHeight="1">
      <c r="B162" s="97" t="s">
        <v>6</v>
      </c>
      <c r="C162" s="20"/>
      <c r="D162" s="20"/>
      <c r="E162" s="33">
        <v>144</v>
      </c>
      <c r="F162" s="140">
        <v>120</v>
      </c>
      <c r="G162" s="141">
        <v>171</v>
      </c>
      <c r="H162" s="140">
        <v>22</v>
      </c>
      <c r="I162" s="138">
        <v>40</v>
      </c>
      <c r="J162" s="138">
        <v>1</v>
      </c>
      <c r="K162" s="138">
        <v>8</v>
      </c>
      <c r="L162" s="71">
        <v>23</v>
      </c>
      <c r="M162" s="88">
        <v>48</v>
      </c>
      <c r="N162" s="142">
        <v>34</v>
      </c>
      <c r="O162" s="138"/>
      <c r="P162" s="138">
        <v>60</v>
      </c>
      <c r="Q162" s="141">
        <v>94</v>
      </c>
      <c r="R162" s="140">
        <v>1158</v>
      </c>
      <c r="S162" s="143">
        <v>1519</v>
      </c>
      <c r="T162" s="147">
        <v>260</v>
      </c>
      <c r="U162" s="151">
        <v>136</v>
      </c>
      <c r="V162" s="148">
        <v>879</v>
      </c>
      <c r="W162" s="152">
        <v>1265</v>
      </c>
      <c r="X162" s="140">
        <v>8</v>
      </c>
      <c r="Y162" s="138">
        <v>8</v>
      </c>
      <c r="Z162" s="138">
        <v>53</v>
      </c>
      <c r="AA162" s="143">
        <v>53</v>
      </c>
    </row>
    <row r="163" spans="2:27" ht="15" customHeight="1">
      <c r="B163" s="97" t="s">
        <v>7</v>
      </c>
      <c r="C163" s="20">
        <v>1</v>
      </c>
      <c r="D163" s="20" t="s">
        <v>47</v>
      </c>
      <c r="E163" s="107">
        <v>145</v>
      </c>
      <c r="F163" s="140">
        <v>1</v>
      </c>
      <c r="G163" s="141">
        <v>2</v>
      </c>
      <c r="H163" s="140"/>
      <c r="I163" s="138">
        <v>1</v>
      </c>
      <c r="J163" s="138"/>
      <c r="K163" s="138"/>
      <c r="L163" s="71">
        <v>0</v>
      </c>
      <c r="M163" s="88">
        <v>1</v>
      </c>
      <c r="N163" s="142">
        <v>1</v>
      </c>
      <c r="O163" s="138"/>
      <c r="P163" s="138"/>
      <c r="Q163" s="141">
        <v>1</v>
      </c>
      <c r="R163" s="140">
        <v>6</v>
      </c>
      <c r="S163" s="143">
        <v>18</v>
      </c>
      <c r="T163" s="147">
        <v>1</v>
      </c>
      <c r="U163" s="151">
        <v>1</v>
      </c>
      <c r="V163" s="148">
        <v>5</v>
      </c>
      <c r="W163" s="152">
        <v>18</v>
      </c>
      <c r="X163" s="140"/>
      <c r="Y163" s="138"/>
      <c r="Z163" s="138"/>
      <c r="AA163" s="143"/>
    </row>
    <row r="164" spans="2:27" ht="15" customHeight="1">
      <c r="B164" s="97" t="s">
        <v>8</v>
      </c>
      <c r="C164" s="20"/>
      <c r="D164" s="20"/>
      <c r="E164" s="33">
        <v>146</v>
      </c>
      <c r="F164" s="140">
        <v>524</v>
      </c>
      <c r="G164" s="141">
        <v>1038</v>
      </c>
      <c r="H164" s="140">
        <v>154</v>
      </c>
      <c r="I164" s="138">
        <v>334</v>
      </c>
      <c r="J164" s="138">
        <v>11</v>
      </c>
      <c r="K164" s="138">
        <v>42</v>
      </c>
      <c r="L164" s="71">
        <v>165</v>
      </c>
      <c r="M164" s="88">
        <v>376</v>
      </c>
      <c r="N164" s="142">
        <v>34</v>
      </c>
      <c r="O164" s="138">
        <v>4</v>
      </c>
      <c r="P164" s="138">
        <v>156</v>
      </c>
      <c r="Q164" s="141">
        <v>195</v>
      </c>
      <c r="R164" s="140">
        <v>1962</v>
      </c>
      <c r="S164" s="143">
        <v>3036</v>
      </c>
      <c r="T164" s="147">
        <v>418</v>
      </c>
      <c r="U164" s="151">
        <v>159</v>
      </c>
      <c r="V164" s="148">
        <v>1745</v>
      </c>
      <c r="W164" s="152">
        <v>3030</v>
      </c>
      <c r="X164" s="140">
        <v>34</v>
      </c>
      <c r="Y164" s="138">
        <v>34</v>
      </c>
      <c r="Z164" s="138">
        <v>104</v>
      </c>
      <c r="AA164" s="143">
        <v>104</v>
      </c>
    </row>
    <row r="165" spans="2:27" ht="15" customHeight="1">
      <c r="B165" s="97" t="s">
        <v>9</v>
      </c>
      <c r="C165" s="20">
        <v>1</v>
      </c>
      <c r="D165" s="20" t="s">
        <v>47</v>
      </c>
      <c r="E165" s="33">
        <v>147</v>
      </c>
      <c r="F165" s="140">
        <v>34</v>
      </c>
      <c r="G165" s="141">
        <v>48</v>
      </c>
      <c r="H165" s="140">
        <v>6</v>
      </c>
      <c r="I165" s="138">
        <v>12</v>
      </c>
      <c r="J165" s="138"/>
      <c r="K165" s="138"/>
      <c r="L165" s="71">
        <v>6</v>
      </c>
      <c r="M165" s="88">
        <v>12</v>
      </c>
      <c r="N165" s="142">
        <v>2</v>
      </c>
      <c r="O165" s="138"/>
      <c r="P165" s="138">
        <v>7</v>
      </c>
      <c r="Q165" s="141">
        <v>9</v>
      </c>
      <c r="R165" s="140">
        <v>126</v>
      </c>
      <c r="S165" s="143">
        <v>202</v>
      </c>
      <c r="T165" s="147">
        <v>25</v>
      </c>
      <c r="U165" s="151">
        <v>7</v>
      </c>
      <c r="V165" s="148">
        <v>109</v>
      </c>
      <c r="W165" s="152">
        <v>191</v>
      </c>
      <c r="X165" s="140"/>
      <c r="Y165" s="138"/>
      <c r="Z165" s="138">
        <v>9</v>
      </c>
      <c r="AA165" s="143">
        <v>9</v>
      </c>
    </row>
    <row r="166" spans="2:27" ht="15" customHeight="1">
      <c r="B166" s="97" t="s">
        <v>10</v>
      </c>
      <c r="C166" s="20"/>
      <c r="D166" s="20"/>
      <c r="E166" s="107">
        <v>148</v>
      </c>
      <c r="F166" s="140">
        <v>325</v>
      </c>
      <c r="G166" s="141">
        <v>567</v>
      </c>
      <c r="H166" s="140">
        <v>92</v>
      </c>
      <c r="I166" s="138">
        <v>191</v>
      </c>
      <c r="J166" s="138">
        <v>5</v>
      </c>
      <c r="K166" s="138">
        <v>20</v>
      </c>
      <c r="L166" s="71">
        <v>97</v>
      </c>
      <c r="M166" s="88">
        <v>211</v>
      </c>
      <c r="N166" s="142">
        <v>83</v>
      </c>
      <c r="O166" s="138"/>
      <c r="P166" s="138">
        <v>97</v>
      </c>
      <c r="Q166" s="141">
        <v>181</v>
      </c>
      <c r="R166" s="140">
        <v>2274</v>
      </c>
      <c r="S166" s="143">
        <v>3104</v>
      </c>
      <c r="T166" s="147">
        <v>486</v>
      </c>
      <c r="U166" s="151">
        <v>276</v>
      </c>
      <c r="V166" s="148">
        <v>1790</v>
      </c>
      <c r="W166" s="152">
        <v>2734</v>
      </c>
      <c r="X166" s="140">
        <v>24</v>
      </c>
      <c r="Y166" s="138">
        <v>24</v>
      </c>
      <c r="Z166" s="138">
        <v>117</v>
      </c>
      <c r="AA166" s="143">
        <v>117</v>
      </c>
    </row>
    <row r="167" spans="2:27" ht="15" customHeight="1">
      <c r="B167" s="97" t="s">
        <v>11</v>
      </c>
      <c r="C167" s="20">
        <v>1</v>
      </c>
      <c r="D167" s="20" t="s">
        <v>52</v>
      </c>
      <c r="E167" s="33">
        <v>149</v>
      </c>
      <c r="F167" s="140">
        <v>2</v>
      </c>
      <c r="G167" s="141">
        <v>6</v>
      </c>
      <c r="H167" s="140">
        <v>1</v>
      </c>
      <c r="I167" s="138">
        <v>2</v>
      </c>
      <c r="J167" s="138"/>
      <c r="K167" s="138"/>
      <c r="L167" s="71">
        <v>1</v>
      </c>
      <c r="M167" s="88">
        <v>2</v>
      </c>
      <c r="N167" s="142"/>
      <c r="O167" s="138"/>
      <c r="P167" s="138"/>
      <c r="Q167" s="141"/>
      <c r="R167" s="140">
        <v>21</v>
      </c>
      <c r="S167" s="143">
        <v>48</v>
      </c>
      <c r="T167" s="147">
        <v>3</v>
      </c>
      <c r="U167" s="151">
        <v>1</v>
      </c>
      <c r="V167" s="148">
        <v>18</v>
      </c>
      <c r="W167" s="152">
        <v>46</v>
      </c>
      <c r="X167" s="140"/>
      <c r="Y167" s="138"/>
      <c r="Z167" s="138">
        <v>1</v>
      </c>
      <c r="AA167" s="143">
        <v>1</v>
      </c>
    </row>
    <row r="168" spans="2:27" ht="15" customHeight="1">
      <c r="B168" s="97" t="s">
        <v>12</v>
      </c>
      <c r="C168" s="20">
        <v>1</v>
      </c>
      <c r="D168" s="20" t="s">
        <v>52</v>
      </c>
      <c r="E168" s="33">
        <v>150</v>
      </c>
      <c r="F168" s="140">
        <v>11</v>
      </c>
      <c r="G168" s="141">
        <v>17</v>
      </c>
      <c r="H168" s="140">
        <v>1</v>
      </c>
      <c r="I168" s="138">
        <v>2</v>
      </c>
      <c r="J168" s="138"/>
      <c r="K168" s="138"/>
      <c r="L168" s="71">
        <v>1</v>
      </c>
      <c r="M168" s="88">
        <v>2</v>
      </c>
      <c r="N168" s="142">
        <v>10</v>
      </c>
      <c r="O168" s="138"/>
      <c r="P168" s="138">
        <v>5</v>
      </c>
      <c r="Q168" s="141">
        <v>15</v>
      </c>
      <c r="R168" s="140">
        <v>124</v>
      </c>
      <c r="S168" s="143">
        <v>201</v>
      </c>
      <c r="T168" s="147">
        <v>16</v>
      </c>
      <c r="U168" s="151">
        <v>10</v>
      </c>
      <c r="V168" s="148">
        <v>114</v>
      </c>
      <c r="W168" s="152">
        <v>192</v>
      </c>
      <c r="X168" s="140">
        <v>1</v>
      </c>
      <c r="Y168" s="138">
        <v>1</v>
      </c>
      <c r="Z168" s="138">
        <v>7</v>
      </c>
      <c r="AA168" s="143">
        <v>7</v>
      </c>
    </row>
    <row r="169" spans="2:27" ht="15" customHeight="1">
      <c r="B169" s="97" t="s">
        <v>13</v>
      </c>
      <c r="C169" s="20" t="s">
        <v>63</v>
      </c>
      <c r="D169" s="20"/>
      <c r="E169" s="107">
        <v>151</v>
      </c>
      <c r="F169" s="140">
        <v>7508</v>
      </c>
      <c r="G169" s="141">
        <v>15941</v>
      </c>
      <c r="H169" s="140">
        <v>1826</v>
      </c>
      <c r="I169" s="138">
        <v>4105</v>
      </c>
      <c r="J169" s="138">
        <v>147</v>
      </c>
      <c r="K169" s="138">
        <v>545</v>
      </c>
      <c r="L169" s="71">
        <v>1973</v>
      </c>
      <c r="M169" s="88">
        <v>4650</v>
      </c>
      <c r="N169" s="142">
        <v>353</v>
      </c>
      <c r="O169" s="138">
        <v>2</v>
      </c>
      <c r="P169" s="138">
        <v>1040</v>
      </c>
      <c r="Q169" s="141">
        <v>1396</v>
      </c>
      <c r="R169" s="140">
        <v>15312</v>
      </c>
      <c r="S169" s="143">
        <v>25731</v>
      </c>
      <c r="T169" s="147">
        <v>2928</v>
      </c>
      <c r="U169" s="151">
        <v>721</v>
      </c>
      <c r="V169" s="148">
        <v>15032</v>
      </c>
      <c r="W169" s="152">
        <v>28128</v>
      </c>
      <c r="X169" s="140">
        <v>289</v>
      </c>
      <c r="Y169" s="138">
        <v>299</v>
      </c>
      <c r="Z169" s="138">
        <v>1799</v>
      </c>
      <c r="AA169" s="143">
        <v>1799</v>
      </c>
    </row>
    <row r="170" spans="2:27" ht="15" customHeight="1">
      <c r="B170" s="97" t="s">
        <v>14</v>
      </c>
      <c r="C170" s="20"/>
      <c r="D170" s="20"/>
      <c r="E170" s="33">
        <v>152</v>
      </c>
      <c r="F170" s="140">
        <v>124</v>
      </c>
      <c r="G170" s="141">
        <v>201</v>
      </c>
      <c r="H170" s="140">
        <v>20</v>
      </c>
      <c r="I170" s="138">
        <v>34</v>
      </c>
      <c r="J170" s="138">
        <v>2</v>
      </c>
      <c r="K170" s="138">
        <v>6</v>
      </c>
      <c r="L170" s="71">
        <v>22</v>
      </c>
      <c r="M170" s="88">
        <v>40</v>
      </c>
      <c r="N170" s="142">
        <v>13</v>
      </c>
      <c r="O170" s="138">
        <v>1</v>
      </c>
      <c r="P170" s="138">
        <v>41</v>
      </c>
      <c r="Q170" s="141">
        <v>55</v>
      </c>
      <c r="R170" s="140">
        <v>1091</v>
      </c>
      <c r="S170" s="143">
        <v>1453</v>
      </c>
      <c r="T170" s="147">
        <v>249</v>
      </c>
      <c r="U170" s="151">
        <v>62</v>
      </c>
      <c r="V170" s="148">
        <v>857</v>
      </c>
      <c r="W170" s="152">
        <v>1237</v>
      </c>
      <c r="X170" s="140">
        <v>14</v>
      </c>
      <c r="Y170" s="138">
        <v>14</v>
      </c>
      <c r="Z170" s="138">
        <v>37</v>
      </c>
      <c r="AA170" s="143">
        <v>37</v>
      </c>
    </row>
    <row r="171" spans="2:27" ht="15" customHeight="1">
      <c r="B171" s="97" t="s">
        <v>15</v>
      </c>
      <c r="C171" s="20"/>
      <c r="D171" s="20"/>
      <c r="E171" s="33">
        <v>153</v>
      </c>
      <c r="F171" s="140">
        <v>156</v>
      </c>
      <c r="G171" s="141">
        <v>251</v>
      </c>
      <c r="H171" s="140">
        <v>32</v>
      </c>
      <c r="I171" s="138">
        <v>66</v>
      </c>
      <c r="J171" s="138">
        <v>1</v>
      </c>
      <c r="K171" s="138">
        <v>6</v>
      </c>
      <c r="L171" s="71">
        <v>33</v>
      </c>
      <c r="M171" s="88">
        <v>72</v>
      </c>
      <c r="N171" s="142">
        <v>20</v>
      </c>
      <c r="O171" s="138">
        <v>1</v>
      </c>
      <c r="P171" s="138">
        <v>93</v>
      </c>
      <c r="Q171" s="141">
        <v>115</v>
      </c>
      <c r="R171" s="140">
        <v>1018</v>
      </c>
      <c r="S171" s="143">
        <v>1490</v>
      </c>
      <c r="T171" s="147">
        <v>240</v>
      </c>
      <c r="U171" s="151">
        <v>120</v>
      </c>
      <c r="V171" s="148">
        <v>806</v>
      </c>
      <c r="W171" s="152">
        <v>1317</v>
      </c>
      <c r="X171" s="140">
        <v>12</v>
      </c>
      <c r="Y171" s="138">
        <v>12</v>
      </c>
      <c r="Z171" s="138">
        <v>59</v>
      </c>
      <c r="AA171" s="143">
        <v>59</v>
      </c>
    </row>
    <row r="172" spans="2:27" ht="15" customHeight="1">
      <c r="B172" s="97" t="s">
        <v>16</v>
      </c>
      <c r="C172" s="20" t="s">
        <v>63</v>
      </c>
      <c r="D172" s="20"/>
      <c r="E172" s="33">
        <v>155</v>
      </c>
      <c r="F172" s="140">
        <v>919</v>
      </c>
      <c r="G172" s="141">
        <v>1527</v>
      </c>
      <c r="H172" s="140">
        <v>141</v>
      </c>
      <c r="I172" s="138">
        <v>273</v>
      </c>
      <c r="J172" s="138">
        <v>6</v>
      </c>
      <c r="K172" s="138">
        <v>24</v>
      </c>
      <c r="L172" s="71">
        <v>147</v>
      </c>
      <c r="M172" s="88">
        <v>297</v>
      </c>
      <c r="N172" s="142">
        <v>394</v>
      </c>
      <c r="O172" s="138">
        <v>2</v>
      </c>
      <c r="P172" s="138">
        <v>238</v>
      </c>
      <c r="Q172" s="141">
        <v>636</v>
      </c>
      <c r="R172" s="140">
        <v>3640</v>
      </c>
      <c r="S172" s="143">
        <v>4852</v>
      </c>
      <c r="T172" s="147">
        <v>1005</v>
      </c>
      <c r="U172" s="151">
        <v>225</v>
      </c>
      <c r="V172" s="148">
        <v>3193</v>
      </c>
      <c r="W172" s="152">
        <v>4555</v>
      </c>
      <c r="X172" s="140">
        <v>48</v>
      </c>
      <c r="Y172" s="138">
        <v>48</v>
      </c>
      <c r="Z172" s="138">
        <v>202</v>
      </c>
      <c r="AA172" s="143">
        <v>202</v>
      </c>
    </row>
    <row r="173" spans="2:27" ht="15" customHeight="1">
      <c r="B173" s="97" t="s">
        <v>17</v>
      </c>
      <c r="C173" s="20" t="s">
        <v>63</v>
      </c>
      <c r="D173" s="20"/>
      <c r="E173" s="33">
        <v>156</v>
      </c>
      <c r="F173" s="140">
        <v>1809</v>
      </c>
      <c r="G173" s="141">
        <v>3362</v>
      </c>
      <c r="H173" s="140">
        <v>469</v>
      </c>
      <c r="I173" s="138">
        <v>965</v>
      </c>
      <c r="J173" s="138">
        <v>21</v>
      </c>
      <c r="K173" s="138">
        <v>82</v>
      </c>
      <c r="L173" s="71">
        <v>490</v>
      </c>
      <c r="M173" s="88">
        <v>1047</v>
      </c>
      <c r="N173" s="142">
        <v>81</v>
      </c>
      <c r="O173" s="138"/>
      <c r="P173" s="138">
        <v>227</v>
      </c>
      <c r="Q173" s="141">
        <v>309</v>
      </c>
      <c r="R173" s="140">
        <v>4828</v>
      </c>
      <c r="S173" s="143">
        <v>7695</v>
      </c>
      <c r="T173" s="147">
        <v>809</v>
      </c>
      <c r="U173" s="151">
        <v>288</v>
      </c>
      <c r="V173" s="148">
        <v>4530</v>
      </c>
      <c r="W173" s="152">
        <v>7954</v>
      </c>
      <c r="X173" s="140">
        <v>88</v>
      </c>
      <c r="Y173" s="138">
        <v>91</v>
      </c>
      <c r="Z173" s="138">
        <v>551</v>
      </c>
      <c r="AA173" s="143">
        <v>551</v>
      </c>
    </row>
    <row r="174" spans="2:27" ht="15" customHeight="1">
      <c r="B174" s="97" t="s">
        <v>18</v>
      </c>
      <c r="C174" s="20">
        <v>1</v>
      </c>
      <c r="D174" s="20" t="s">
        <v>75</v>
      </c>
      <c r="E174" s="107">
        <v>154</v>
      </c>
      <c r="F174" s="140">
        <v>70</v>
      </c>
      <c r="G174" s="141">
        <v>106</v>
      </c>
      <c r="H174" s="140">
        <v>9</v>
      </c>
      <c r="I174" s="138">
        <v>16</v>
      </c>
      <c r="J174" s="138"/>
      <c r="K174" s="138">
        <v>1</v>
      </c>
      <c r="L174" s="71">
        <v>9</v>
      </c>
      <c r="M174" s="88">
        <v>17</v>
      </c>
      <c r="N174" s="142">
        <v>18</v>
      </c>
      <c r="O174" s="138"/>
      <c r="P174" s="138">
        <v>26</v>
      </c>
      <c r="Q174" s="141">
        <v>46</v>
      </c>
      <c r="R174" s="140">
        <v>315</v>
      </c>
      <c r="S174" s="143">
        <v>468</v>
      </c>
      <c r="T174" s="147">
        <v>71</v>
      </c>
      <c r="U174" s="151">
        <v>36</v>
      </c>
      <c r="V174" s="148">
        <v>263</v>
      </c>
      <c r="W174" s="152">
        <v>424</v>
      </c>
      <c r="X174" s="140">
        <v>4</v>
      </c>
      <c r="Y174" s="138">
        <v>4</v>
      </c>
      <c r="Z174" s="138">
        <v>24</v>
      </c>
      <c r="AA174" s="143">
        <v>24</v>
      </c>
    </row>
    <row r="175" spans="2:27" ht="15" customHeight="1">
      <c r="B175" s="97" t="s">
        <v>19</v>
      </c>
      <c r="C175" s="20"/>
      <c r="D175" s="20"/>
      <c r="E175" s="107">
        <v>157</v>
      </c>
      <c r="F175" s="140">
        <v>3</v>
      </c>
      <c r="G175" s="141">
        <v>6</v>
      </c>
      <c r="H175" s="140">
        <v>5</v>
      </c>
      <c r="I175" s="138">
        <v>9</v>
      </c>
      <c r="J175" s="138"/>
      <c r="K175" s="138"/>
      <c r="L175" s="71">
        <v>5</v>
      </c>
      <c r="M175" s="88">
        <v>9</v>
      </c>
      <c r="N175" s="142">
        <v>1</v>
      </c>
      <c r="O175" s="138"/>
      <c r="P175" s="138">
        <v>4</v>
      </c>
      <c r="Q175" s="141">
        <v>6</v>
      </c>
      <c r="R175" s="140">
        <v>46</v>
      </c>
      <c r="S175" s="143">
        <v>71</v>
      </c>
      <c r="T175" s="147">
        <v>10</v>
      </c>
      <c r="U175" s="151">
        <v>3</v>
      </c>
      <c r="V175" s="148">
        <v>44</v>
      </c>
      <c r="W175" s="152">
        <v>73</v>
      </c>
      <c r="X175" s="140"/>
      <c r="Y175" s="138"/>
      <c r="Z175" s="138">
        <v>4</v>
      </c>
      <c r="AA175" s="143">
        <v>4</v>
      </c>
    </row>
    <row r="176" spans="2:27" ht="15" customHeight="1">
      <c r="B176" s="97" t="s">
        <v>20</v>
      </c>
      <c r="C176" s="20"/>
      <c r="D176" s="20"/>
      <c r="E176" s="33">
        <v>158</v>
      </c>
      <c r="F176" s="140">
        <v>61</v>
      </c>
      <c r="G176" s="141">
        <v>98</v>
      </c>
      <c r="H176" s="140">
        <v>14</v>
      </c>
      <c r="I176" s="138">
        <v>32</v>
      </c>
      <c r="J176" s="138"/>
      <c r="K176" s="138">
        <v>2</v>
      </c>
      <c r="L176" s="71">
        <v>14</v>
      </c>
      <c r="M176" s="88">
        <v>34</v>
      </c>
      <c r="N176" s="142">
        <v>8</v>
      </c>
      <c r="O176" s="138"/>
      <c r="P176" s="138">
        <v>36</v>
      </c>
      <c r="Q176" s="141">
        <v>45</v>
      </c>
      <c r="R176" s="140">
        <v>423</v>
      </c>
      <c r="S176" s="143">
        <v>548</v>
      </c>
      <c r="T176" s="147">
        <v>109</v>
      </c>
      <c r="U176" s="151">
        <v>43</v>
      </c>
      <c r="V176" s="148">
        <v>330</v>
      </c>
      <c r="W176" s="152">
        <v>475</v>
      </c>
      <c r="X176" s="140">
        <v>4</v>
      </c>
      <c r="Y176" s="138">
        <v>4</v>
      </c>
      <c r="Z176" s="138">
        <v>29</v>
      </c>
      <c r="AA176" s="143">
        <v>29</v>
      </c>
    </row>
    <row r="177" spans="2:27" ht="15" customHeight="1">
      <c r="B177" s="97" t="s">
        <v>21</v>
      </c>
      <c r="C177" s="20"/>
      <c r="D177" s="20"/>
      <c r="E177" s="33">
        <v>159</v>
      </c>
      <c r="F177" s="140">
        <v>287</v>
      </c>
      <c r="G177" s="141">
        <v>432</v>
      </c>
      <c r="H177" s="140">
        <v>46</v>
      </c>
      <c r="I177" s="138">
        <v>94</v>
      </c>
      <c r="J177" s="138">
        <v>1</v>
      </c>
      <c r="K177" s="138">
        <v>3</v>
      </c>
      <c r="L177" s="71">
        <v>47</v>
      </c>
      <c r="M177" s="88">
        <v>97</v>
      </c>
      <c r="N177" s="142">
        <v>32</v>
      </c>
      <c r="O177" s="138">
        <v>1</v>
      </c>
      <c r="P177" s="138">
        <v>56</v>
      </c>
      <c r="Q177" s="141">
        <v>90</v>
      </c>
      <c r="R177" s="140">
        <v>1337</v>
      </c>
      <c r="S177" s="143">
        <v>1785</v>
      </c>
      <c r="T177" s="147">
        <v>343</v>
      </c>
      <c r="U177" s="151">
        <v>154</v>
      </c>
      <c r="V177" s="148">
        <v>977</v>
      </c>
      <c r="W177" s="152">
        <v>1475</v>
      </c>
      <c r="X177" s="140">
        <v>15</v>
      </c>
      <c r="Y177" s="138">
        <v>15</v>
      </c>
      <c r="Z177" s="138">
        <v>66</v>
      </c>
      <c r="AA177" s="143">
        <v>66</v>
      </c>
    </row>
    <row r="178" spans="2:27" ht="15" customHeight="1">
      <c r="B178" s="97" t="s">
        <v>22</v>
      </c>
      <c r="C178" s="20">
        <v>1</v>
      </c>
      <c r="D178" s="20" t="s">
        <v>47</v>
      </c>
      <c r="E178" s="107">
        <v>160</v>
      </c>
      <c r="F178" s="140">
        <v>24</v>
      </c>
      <c r="G178" s="141">
        <v>42</v>
      </c>
      <c r="H178" s="140">
        <v>9</v>
      </c>
      <c r="I178" s="138">
        <v>20</v>
      </c>
      <c r="J178" s="138"/>
      <c r="K178" s="138"/>
      <c r="L178" s="71">
        <v>9</v>
      </c>
      <c r="M178" s="88">
        <v>20</v>
      </c>
      <c r="N178" s="142">
        <v>9</v>
      </c>
      <c r="O178" s="138"/>
      <c r="P178" s="138">
        <v>25</v>
      </c>
      <c r="Q178" s="141">
        <v>35</v>
      </c>
      <c r="R178" s="140">
        <v>142</v>
      </c>
      <c r="S178" s="143">
        <v>234</v>
      </c>
      <c r="T178" s="147">
        <v>23</v>
      </c>
      <c r="U178" s="151">
        <v>17</v>
      </c>
      <c r="V178" s="148">
        <v>146</v>
      </c>
      <c r="W178" s="152">
        <v>249</v>
      </c>
      <c r="X178" s="140"/>
      <c r="Y178" s="138"/>
      <c r="Z178" s="138">
        <v>9</v>
      </c>
      <c r="AA178" s="143">
        <v>9</v>
      </c>
    </row>
    <row r="179" spans="2:27" ht="15" customHeight="1">
      <c r="B179" s="97" t="s">
        <v>23</v>
      </c>
      <c r="C179" s="20"/>
      <c r="D179" s="20"/>
      <c r="E179" s="33">
        <v>161</v>
      </c>
      <c r="F179" s="140">
        <v>13</v>
      </c>
      <c r="G179" s="141">
        <v>22</v>
      </c>
      <c r="H179" s="140">
        <v>1</v>
      </c>
      <c r="I179" s="138">
        <v>1</v>
      </c>
      <c r="J179" s="138"/>
      <c r="K179" s="138">
        <v>1</v>
      </c>
      <c r="L179" s="71">
        <v>1</v>
      </c>
      <c r="M179" s="88">
        <v>2</v>
      </c>
      <c r="N179" s="142">
        <v>2</v>
      </c>
      <c r="O179" s="138"/>
      <c r="P179" s="138">
        <v>11</v>
      </c>
      <c r="Q179" s="141">
        <v>13</v>
      </c>
      <c r="R179" s="140">
        <v>476</v>
      </c>
      <c r="S179" s="143">
        <v>526</v>
      </c>
      <c r="T179" s="147">
        <v>176</v>
      </c>
      <c r="U179" s="151">
        <v>20</v>
      </c>
      <c r="V179" s="148">
        <v>294</v>
      </c>
      <c r="W179" s="152">
        <v>345</v>
      </c>
      <c r="X179" s="140">
        <v>2</v>
      </c>
      <c r="Y179" s="138">
        <v>2</v>
      </c>
      <c r="Z179" s="138">
        <v>11</v>
      </c>
      <c r="AA179" s="143">
        <v>11</v>
      </c>
    </row>
    <row r="180" spans="2:27" ht="15" customHeight="1">
      <c r="B180" s="97" t="s">
        <v>24</v>
      </c>
      <c r="C180" s="20">
        <v>1</v>
      </c>
      <c r="D180" s="20" t="s">
        <v>52</v>
      </c>
      <c r="E180" s="33">
        <v>162</v>
      </c>
      <c r="F180" s="140">
        <v>288</v>
      </c>
      <c r="G180" s="141">
        <v>564</v>
      </c>
      <c r="H180" s="140">
        <v>68</v>
      </c>
      <c r="I180" s="138">
        <v>153</v>
      </c>
      <c r="J180" s="138">
        <v>5</v>
      </c>
      <c r="K180" s="138">
        <v>22</v>
      </c>
      <c r="L180" s="71">
        <v>73</v>
      </c>
      <c r="M180" s="88">
        <v>175</v>
      </c>
      <c r="N180" s="142">
        <v>7</v>
      </c>
      <c r="O180" s="138"/>
      <c r="P180" s="138">
        <v>74</v>
      </c>
      <c r="Q180" s="141">
        <v>82</v>
      </c>
      <c r="R180" s="140">
        <v>1031</v>
      </c>
      <c r="S180" s="143">
        <v>1727</v>
      </c>
      <c r="T180" s="147">
        <v>199</v>
      </c>
      <c r="U180" s="151">
        <v>96</v>
      </c>
      <c r="V180" s="148">
        <v>891</v>
      </c>
      <c r="W180" s="152">
        <v>1689</v>
      </c>
      <c r="X180" s="140">
        <v>22</v>
      </c>
      <c r="Y180" s="138">
        <v>22</v>
      </c>
      <c r="Z180" s="138">
        <v>90</v>
      </c>
      <c r="AA180" s="143">
        <v>90</v>
      </c>
    </row>
    <row r="181" spans="2:27" ht="15" customHeight="1">
      <c r="B181" s="97" t="s">
        <v>25</v>
      </c>
      <c r="C181" s="20"/>
      <c r="D181" s="20"/>
      <c r="E181" s="107">
        <v>163</v>
      </c>
      <c r="F181" s="140">
        <v>1290</v>
      </c>
      <c r="G181" s="141">
        <v>2661</v>
      </c>
      <c r="H181" s="140">
        <v>301</v>
      </c>
      <c r="I181" s="138">
        <v>628</v>
      </c>
      <c r="J181" s="138">
        <v>26</v>
      </c>
      <c r="K181" s="138">
        <v>82</v>
      </c>
      <c r="L181" s="71">
        <v>327</v>
      </c>
      <c r="M181" s="88">
        <v>710</v>
      </c>
      <c r="N181" s="142">
        <v>34</v>
      </c>
      <c r="O181" s="138">
        <v>1</v>
      </c>
      <c r="P181" s="138">
        <v>118</v>
      </c>
      <c r="Q181" s="141">
        <v>154</v>
      </c>
      <c r="R181" s="140">
        <v>3366</v>
      </c>
      <c r="S181" s="143">
        <v>5463</v>
      </c>
      <c r="T181" s="147">
        <v>613</v>
      </c>
      <c r="U181" s="151">
        <v>157</v>
      </c>
      <c r="V181" s="148">
        <v>3077</v>
      </c>
      <c r="W181" s="152">
        <v>5557</v>
      </c>
      <c r="X181" s="140">
        <v>39</v>
      </c>
      <c r="Y181" s="138">
        <v>40</v>
      </c>
      <c r="Z181" s="138">
        <v>365</v>
      </c>
      <c r="AA181" s="143">
        <v>366</v>
      </c>
    </row>
    <row r="182" spans="2:27" ht="15" customHeight="1">
      <c r="B182" s="97" t="s">
        <v>26</v>
      </c>
      <c r="C182" s="20"/>
      <c r="D182" s="20"/>
      <c r="E182" s="33">
        <v>164</v>
      </c>
      <c r="F182" s="140">
        <v>380</v>
      </c>
      <c r="G182" s="141">
        <v>644</v>
      </c>
      <c r="H182" s="140">
        <v>117</v>
      </c>
      <c r="I182" s="138">
        <v>218</v>
      </c>
      <c r="J182" s="138">
        <v>4</v>
      </c>
      <c r="K182" s="138">
        <v>14</v>
      </c>
      <c r="L182" s="71">
        <v>121</v>
      </c>
      <c r="M182" s="88">
        <v>232</v>
      </c>
      <c r="N182" s="142">
        <v>56</v>
      </c>
      <c r="O182" s="138">
        <v>1</v>
      </c>
      <c r="P182" s="138">
        <v>92</v>
      </c>
      <c r="Q182" s="141">
        <v>149</v>
      </c>
      <c r="R182" s="140">
        <v>1944</v>
      </c>
      <c r="S182" s="143">
        <v>2714</v>
      </c>
      <c r="T182" s="147">
        <v>410</v>
      </c>
      <c r="U182" s="151">
        <v>118</v>
      </c>
      <c r="V182" s="148">
        <v>1686</v>
      </c>
      <c r="W182" s="152">
        <v>2567</v>
      </c>
      <c r="X182" s="140">
        <v>24</v>
      </c>
      <c r="Y182" s="138">
        <v>26</v>
      </c>
      <c r="Z182" s="138">
        <v>132</v>
      </c>
      <c r="AA182" s="143">
        <v>132</v>
      </c>
    </row>
    <row r="183" spans="2:27" ht="15" customHeight="1">
      <c r="B183" s="97" t="s">
        <v>27</v>
      </c>
      <c r="C183" s="20"/>
      <c r="D183" s="20"/>
      <c r="E183" s="33">
        <v>165</v>
      </c>
      <c r="F183" s="140">
        <v>142</v>
      </c>
      <c r="G183" s="141">
        <v>254</v>
      </c>
      <c r="H183" s="140">
        <v>27</v>
      </c>
      <c r="I183" s="138">
        <v>54</v>
      </c>
      <c r="J183" s="138">
        <v>4</v>
      </c>
      <c r="K183" s="138">
        <v>14</v>
      </c>
      <c r="L183" s="71">
        <v>31</v>
      </c>
      <c r="M183" s="88">
        <v>68</v>
      </c>
      <c r="N183" s="142">
        <v>9</v>
      </c>
      <c r="O183" s="138"/>
      <c r="P183" s="138">
        <v>21</v>
      </c>
      <c r="Q183" s="141">
        <v>30</v>
      </c>
      <c r="R183" s="140">
        <v>561</v>
      </c>
      <c r="S183" s="143">
        <v>951</v>
      </c>
      <c r="T183" s="147">
        <v>104</v>
      </c>
      <c r="U183" s="151">
        <v>34</v>
      </c>
      <c r="V183" s="148">
        <v>484</v>
      </c>
      <c r="W183" s="152">
        <v>911</v>
      </c>
      <c r="X183" s="140">
        <v>10</v>
      </c>
      <c r="Y183" s="138">
        <v>10</v>
      </c>
      <c r="Z183" s="138">
        <v>37</v>
      </c>
      <c r="AA183" s="143">
        <v>37</v>
      </c>
    </row>
    <row r="184" spans="2:27" ht="15" customHeight="1">
      <c r="B184" s="97" t="s">
        <v>28</v>
      </c>
      <c r="C184" s="20"/>
      <c r="D184" s="20"/>
      <c r="E184" s="107">
        <v>166</v>
      </c>
      <c r="F184" s="140">
        <v>77</v>
      </c>
      <c r="G184" s="141">
        <v>152</v>
      </c>
      <c r="H184" s="140">
        <v>28</v>
      </c>
      <c r="I184" s="138">
        <v>54</v>
      </c>
      <c r="J184" s="138"/>
      <c r="K184" s="138">
        <v>2</v>
      </c>
      <c r="L184" s="71">
        <v>28</v>
      </c>
      <c r="M184" s="88">
        <v>56</v>
      </c>
      <c r="N184" s="142">
        <v>6</v>
      </c>
      <c r="O184" s="138"/>
      <c r="P184" s="138">
        <v>58</v>
      </c>
      <c r="Q184" s="141">
        <v>64</v>
      </c>
      <c r="R184" s="140">
        <v>724</v>
      </c>
      <c r="S184" s="143">
        <v>1056</v>
      </c>
      <c r="T184" s="147">
        <v>159</v>
      </c>
      <c r="U184" s="151">
        <v>85</v>
      </c>
      <c r="V184" s="148">
        <v>572</v>
      </c>
      <c r="W184" s="152">
        <v>932</v>
      </c>
      <c r="X184" s="140">
        <v>4</v>
      </c>
      <c r="Y184" s="138">
        <v>4</v>
      </c>
      <c r="Z184" s="138">
        <v>29</v>
      </c>
      <c r="AA184" s="143">
        <v>29</v>
      </c>
    </row>
    <row r="185" spans="2:27" ht="15" customHeight="1">
      <c r="B185" s="97" t="s">
        <v>29</v>
      </c>
      <c r="C185" s="20"/>
      <c r="D185" s="20"/>
      <c r="E185" s="33">
        <v>167</v>
      </c>
      <c r="F185" s="140">
        <v>30</v>
      </c>
      <c r="G185" s="141">
        <v>43</v>
      </c>
      <c r="H185" s="140">
        <v>7</v>
      </c>
      <c r="I185" s="138">
        <v>13</v>
      </c>
      <c r="J185" s="138"/>
      <c r="K185" s="138">
        <v>1</v>
      </c>
      <c r="L185" s="71">
        <v>7</v>
      </c>
      <c r="M185" s="88">
        <v>14</v>
      </c>
      <c r="N185" s="142">
        <v>5</v>
      </c>
      <c r="O185" s="138"/>
      <c r="P185" s="138">
        <v>5</v>
      </c>
      <c r="Q185" s="141">
        <v>11</v>
      </c>
      <c r="R185" s="140">
        <v>207</v>
      </c>
      <c r="S185" s="143">
        <v>268</v>
      </c>
      <c r="T185" s="147">
        <v>44</v>
      </c>
      <c r="U185" s="151">
        <v>22</v>
      </c>
      <c r="V185" s="148">
        <v>159</v>
      </c>
      <c r="W185" s="152">
        <v>227</v>
      </c>
      <c r="X185" s="140">
        <v>1</v>
      </c>
      <c r="Y185" s="138">
        <v>1</v>
      </c>
      <c r="Z185" s="138">
        <v>9</v>
      </c>
      <c r="AA185" s="143">
        <v>9</v>
      </c>
    </row>
    <row r="186" spans="2:27" ht="15" customHeight="1">
      <c r="B186" s="97" t="s">
        <v>30</v>
      </c>
      <c r="C186" s="20">
        <v>1</v>
      </c>
      <c r="D186" s="20" t="s">
        <v>52</v>
      </c>
      <c r="E186" s="33">
        <v>168</v>
      </c>
      <c r="F186" s="140">
        <v>20</v>
      </c>
      <c r="G186" s="141">
        <v>32</v>
      </c>
      <c r="H186" s="140">
        <v>2</v>
      </c>
      <c r="I186" s="138">
        <v>5</v>
      </c>
      <c r="J186" s="138"/>
      <c r="K186" s="138"/>
      <c r="L186" s="71">
        <v>2</v>
      </c>
      <c r="M186" s="88">
        <v>5</v>
      </c>
      <c r="N186" s="142">
        <v>7</v>
      </c>
      <c r="O186" s="138"/>
      <c r="P186" s="138">
        <v>21</v>
      </c>
      <c r="Q186" s="141">
        <v>28</v>
      </c>
      <c r="R186" s="140">
        <v>232</v>
      </c>
      <c r="S186" s="143">
        <v>399</v>
      </c>
      <c r="T186" s="147">
        <v>47</v>
      </c>
      <c r="U186" s="151">
        <v>20</v>
      </c>
      <c r="V186" s="148">
        <v>195</v>
      </c>
      <c r="W186" s="152">
        <v>365</v>
      </c>
      <c r="X186" s="140">
        <v>1</v>
      </c>
      <c r="Y186" s="138">
        <v>1</v>
      </c>
      <c r="Z186" s="138">
        <v>10</v>
      </c>
      <c r="AA186" s="143">
        <v>10</v>
      </c>
    </row>
    <row r="187" spans="2:27" ht="15" customHeight="1">
      <c r="B187" s="97" t="s">
        <v>31</v>
      </c>
      <c r="C187" s="20">
        <v>1</v>
      </c>
      <c r="D187" s="20" t="s">
        <v>47</v>
      </c>
      <c r="E187" s="107">
        <v>169</v>
      </c>
      <c r="F187" s="140">
        <v>33</v>
      </c>
      <c r="G187" s="141">
        <v>58</v>
      </c>
      <c r="H187" s="140">
        <v>10</v>
      </c>
      <c r="I187" s="138">
        <v>13</v>
      </c>
      <c r="J187" s="138"/>
      <c r="K187" s="138"/>
      <c r="L187" s="71">
        <v>10</v>
      </c>
      <c r="M187" s="88">
        <v>13</v>
      </c>
      <c r="N187" s="142"/>
      <c r="O187" s="138"/>
      <c r="P187" s="138">
        <v>3</v>
      </c>
      <c r="Q187" s="141">
        <v>3</v>
      </c>
      <c r="R187" s="140">
        <v>202</v>
      </c>
      <c r="S187" s="143">
        <v>404</v>
      </c>
      <c r="T187" s="147">
        <v>24</v>
      </c>
      <c r="U187" s="151">
        <v>18</v>
      </c>
      <c r="V187" s="148">
        <v>173</v>
      </c>
      <c r="W187" s="152">
        <v>378</v>
      </c>
      <c r="X187" s="140"/>
      <c r="Y187" s="138"/>
      <c r="Z187" s="138">
        <v>9</v>
      </c>
      <c r="AA187" s="143">
        <v>9</v>
      </c>
    </row>
    <row r="188" spans="2:27" ht="15" customHeight="1">
      <c r="B188" s="98" t="s">
        <v>32</v>
      </c>
      <c r="C188" s="22"/>
      <c r="D188" s="22"/>
      <c r="E188" s="33"/>
      <c r="F188" s="140">
        <v>2</v>
      </c>
      <c r="G188" s="141">
        <v>2</v>
      </c>
      <c r="H188" s="140"/>
      <c r="I188" s="138"/>
      <c r="J188" s="138"/>
      <c r="K188" s="138"/>
      <c r="L188" s="71">
        <v>0</v>
      </c>
      <c r="M188" s="88">
        <v>0</v>
      </c>
      <c r="N188" s="142"/>
      <c r="O188" s="138"/>
      <c r="P188" s="138">
        <v>1</v>
      </c>
      <c r="Q188" s="141">
        <v>1</v>
      </c>
      <c r="R188" s="140">
        <v>378</v>
      </c>
      <c r="S188" s="143">
        <v>383</v>
      </c>
      <c r="T188" s="147">
        <v>6</v>
      </c>
      <c r="U188" s="151">
        <v>1</v>
      </c>
      <c r="V188" s="148">
        <v>372</v>
      </c>
      <c r="W188" s="152">
        <v>377</v>
      </c>
      <c r="X188" s="140">
        <v>1</v>
      </c>
      <c r="Y188" s="138">
        <v>1</v>
      </c>
      <c r="Z188" s="138">
        <v>1</v>
      </c>
      <c r="AA188" s="143">
        <v>1</v>
      </c>
    </row>
    <row r="189" spans="2:27" ht="15" customHeight="1" thickBot="1">
      <c r="B189" s="99" t="s">
        <v>33</v>
      </c>
      <c r="C189" s="36"/>
      <c r="D189" s="36"/>
      <c r="E189" s="108"/>
      <c r="F189" s="160">
        <v>86334</v>
      </c>
      <c r="G189" s="161">
        <v>166615</v>
      </c>
      <c r="H189" s="160">
        <v>21169</v>
      </c>
      <c r="I189" s="162">
        <v>46150</v>
      </c>
      <c r="J189" s="162">
        <v>1258</v>
      </c>
      <c r="K189" s="162">
        <v>4596</v>
      </c>
      <c r="L189" s="162">
        <v>22427</v>
      </c>
      <c r="M189" s="163">
        <v>50746</v>
      </c>
      <c r="N189" s="164">
        <v>5708</v>
      </c>
      <c r="O189" s="162">
        <v>114</v>
      </c>
      <c r="P189" s="162">
        <v>13289</v>
      </c>
      <c r="Q189" s="161">
        <v>19112</v>
      </c>
      <c r="R189" s="160">
        <v>238292</v>
      </c>
      <c r="S189" s="163">
        <v>370142</v>
      </c>
      <c r="T189" s="165">
        <v>46332</v>
      </c>
      <c r="U189" s="166">
        <v>14247</v>
      </c>
      <c r="V189" s="164">
        <v>219252</v>
      </c>
      <c r="W189" s="161">
        <v>379421</v>
      </c>
      <c r="X189" s="160">
        <v>4653</v>
      </c>
      <c r="Y189" s="162">
        <v>4757</v>
      </c>
      <c r="Z189" s="162">
        <v>25628</v>
      </c>
      <c r="AA189" s="163">
        <v>25643</v>
      </c>
    </row>
    <row r="190" ht="15" customHeight="1">
      <c r="B190" s="1" t="s">
        <v>236</v>
      </c>
    </row>
  </sheetData>
  <mergeCells count="10">
    <mergeCell ref="B6:N6"/>
    <mergeCell ref="B17:E17"/>
    <mergeCell ref="B13:E13"/>
    <mergeCell ref="B14:E14"/>
    <mergeCell ref="B15:E15"/>
    <mergeCell ref="B16:E16"/>
    <mergeCell ref="B7:E8"/>
    <mergeCell ref="B10:E10"/>
    <mergeCell ref="B11:E11"/>
    <mergeCell ref="B12:E1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AA190"/>
  <sheetViews>
    <sheetView zoomScale="50" zoomScaleNormal="50" workbookViewId="0" topLeftCell="A151">
      <selection activeCell="J162" sqref="J162"/>
    </sheetView>
  </sheetViews>
  <sheetFormatPr defaultColWidth="9.00390625" defaultRowHeight="15" customHeight="1"/>
  <cols>
    <col min="1" max="16384" width="12.75390625" style="0" customWidth="1"/>
  </cols>
  <sheetData>
    <row r="2" ht="15" customHeight="1">
      <c r="I2" s="1"/>
    </row>
    <row r="3" ht="15" customHeight="1">
      <c r="I3" s="1"/>
    </row>
    <row r="4" spans="6:27" ht="15" customHeight="1">
      <c r="F4" s="1"/>
      <c r="G4" s="1"/>
      <c r="H4" s="1"/>
      <c r="I4" s="1"/>
      <c r="K4" s="1"/>
      <c r="L4" s="1"/>
      <c r="M4" s="1"/>
      <c r="N4" s="1"/>
      <c r="O4" s="1"/>
      <c r="P4" s="1"/>
      <c r="Q4" s="1"/>
      <c r="R4" s="1"/>
      <c r="S4" s="55"/>
      <c r="T4" s="55"/>
      <c r="U4" s="55"/>
      <c r="V4" s="55"/>
      <c r="W4" s="55"/>
      <c r="X4" s="55"/>
      <c r="Y4" s="55"/>
      <c r="Z4" s="55"/>
      <c r="AA4" s="55"/>
    </row>
    <row r="5" spans="6:27" ht="15" customHeight="1" thickBot="1"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1"/>
      <c r="S5" s="55"/>
      <c r="T5" s="55"/>
      <c r="U5" s="55"/>
      <c r="V5" s="55"/>
      <c r="W5" s="55"/>
      <c r="X5" s="55"/>
      <c r="Y5" s="55"/>
      <c r="Z5" s="55"/>
      <c r="AA5" s="55"/>
    </row>
    <row r="6" spans="2:27" ht="45" customHeight="1" thickBot="1">
      <c r="B6" s="226" t="s">
        <v>103</v>
      </c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  <c r="O6" s="1"/>
      <c r="P6" s="1"/>
      <c r="Q6" s="1"/>
      <c r="R6" s="1"/>
      <c r="S6" s="1"/>
      <c r="T6" s="1"/>
      <c r="U6" s="1"/>
      <c r="V6" s="55"/>
      <c r="W6" s="55"/>
      <c r="X6" s="1"/>
      <c r="Y6" s="1"/>
      <c r="Z6" s="1"/>
      <c r="AA6" s="1"/>
    </row>
    <row r="7" spans="2:27" ht="15" customHeight="1">
      <c r="B7" s="193" t="s">
        <v>199</v>
      </c>
      <c r="C7" s="194"/>
      <c r="D7" s="194"/>
      <c r="E7" s="195"/>
      <c r="F7" s="9" t="s">
        <v>180</v>
      </c>
      <c r="G7" s="10"/>
      <c r="H7" s="9" t="s">
        <v>186</v>
      </c>
      <c r="I7" s="10"/>
      <c r="J7" s="10"/>
      <c r="K7" s="10"/>
      <c r="L7" s="10"/>
      <c r="M7" s="11"/>
      <c r="N7" s="10" t="s">
        <v>181</v>
      </c>
      <c r="O7" s="10"/>
      <c r="P7" s="10"/>
      <c r="Q7" s="10"/>
      <c r="R7" s="9" t="s">
        <v>182</v>
      </c>
      <c r="S7" s="11"/>
      <c r="T7" s="139" t="s">
        <v>192</v>
      </c>
      <c r="U7" s="149" t="s">
        <v>194</v>
      </c>
      <c r="V7" s="10" t="s">
        <v>184</v>
      </c>
      <c r="W7" s="10"/>
      <c r="X7" s="9" t="s">
        <v>193</v>
      </c>
      <c r="Y7" s="10"/>
      <c r="Z7" s="10"/>
      <c r="AA7" s="11"/>
    </row>
    <row r="8" spans="2:27" ht="15" customHeight="1">
      <c r="B8" s="196"/>
      <c r="C8" s="197"/>
      <c r="D8" s="197"/>
      <c r="E8" s="198"/>
      <c r="F8" s="110"/>
      <c r="G8" s="105"/>
      <c r="H8" s="68" t="s">
        <v>178</v>
      </c>
      <c r="I8" s="69"/>
      <c r="J8" s="69" t="s">
        <v>179</v>
      </c>
      <c r="K8" s="69"/>
      <c r="L8" s="69" t="s">
        <v>177</v>
      </c>
      <c r="M8" s="70"/>
      <c r="N8" s="105"/>
      <c r="O8" s="105"/>
      <c r="P8" s="105"/>
      <c r="Q8" s="105"/>
      <c r="R8" s="110"/>
      <c r="S8" s="144"/>
      <c r="T8" s="110"/>
      <c r="U8" s="112"/>
      <c r="V8" s="8" t="s">
        <v>183</v>
      </c>
      <c r="W8" s="8"/>
      <c r="X8" s="68" t="s">
        <v>187</v>
      </c>
      <c r="Y8" s="69"/>
      <c r="Z8" s="69" t="s">
        <v>188</v>
      </c>
      <c r="AA8" s="70"/>
    </row>
    <row r="9" spans="2:27" ht="15" customHeight="1" thickBot="1">
      <c r="B9" s="5"/>
      <c r="C9" s="6"/>
      <c r="D9" s="6"/>
      <c r="E9" s="7"/>
      <c r="F9" s="58" t="s">
        <v>172</v>
      </c>
      <c r="G9" s="113" t="s">
        <v>173</v>
      </c>
      <c r="H9" s="58" t="s">
        <v>172</v>
      </c>
      <c r="I9" s="60" t="s">
        <v>173</v>
      </c>
      <c r="J9" s="60" t="s">
        <v>172</v>
      </c>
      <c r="K9" s="60" t="s">
        <v>173</v>
      </c>
      <c r="L9" s="60" t="s">
        <v>172</v>
      </c>
      <c r="M9" s="59" t="s">
        <v>173</v>
      </c>
      <c r="N9" s="61" t="s">
        <v>174</v>
      </c>
      <c r="O9" s="60" t="s">
        <v>175</v>
      </c>
      <c r="P9" s="60" t="s">
        <v>176</v>
      </c>
      <c r="Q9" s="113" t="s">
        <v>177</v>
      </c>
      <c r="R9" s="58" t="s">
        <v>172</v>
      </c>
      <c r="S9" s="59" t="s">
        <v>173</v>
      </c>
      <c r="T9" s="157"/>
      <c r="U9" s="158"/>
      <c r="V9" s="61" t="s">
        <v>172</v>
      </c>
      <c r="W9" s="113" t="s">
        <v>173</v>
      </c>
      <c r="X9" s="58" t="s">
        <v>172</v>
      </c>
      <c r="Y9" s="60" t="s">
        <v>173</v>
      </c>
      <c r="Z9" s="60" t="s">
        <v>172</v>
      </c>
      <c r="AA9" s="59" t="s">
        <v>173</v>
      </c>
    </row>
    <row r="10" spans="2:27" ht="15" customHeight="1">
      <c r="B10" s="221" t="s">
        <v>42</v>
      </c>
      <c r="C10" s="222"/>
      <c r="D10" s="222"/>
      <c r="E10" s="222"/>
      <c r="F10" s="115">
        <v>2779</v>
      </c>
      <c r="G10" s="114">
        <v>5090</v>
      </c>
      <c r="H10" s="115">
        <v>574</v>
      </c>
      <c r="I10" s="109">
        <v>1164</v>
      </c>
      <c r="J10" s="109">
        <v>34</v>
      </c>
      <c r="K10" s="109">
        <v>167</v>
      </c>
      <c r="L10" s="109">
        <v>608</v>
      </c>
      <c r="M10" s="153">
        <v>1331</v>
      </c>
      <c r="N10" s="154">
        <v>268</v>
      </c>
      <c r="O10" s="109">
        <v>11</v>
      </c>
      <c r="P10" s="109">
        <v>831</v>
      </c>
      <c r="Q10" s="114">
        <v>1238</v>
      </c>
      <c r="R10" s="115">
        <v>13433</v>
      </c>
      <c r="S10" s="153">
        <v>21895</v>
      </c>
      <c r="T10" s="155">
        <v>2592</v>
      </c>
      <c r="U10" s="156">
        <v>1150</v>
      </c>
      <c r="V10" s="154">
        <v>11537</v>
      </c>
      <c r="W10" s="114">
        <v>20722</v>
      </c>
      <c r="X10" s="115">
        <v>115</v>
      </c>
      <c r="Y10" s="109">
        <v>115</v>
      </c>
      <c r="Z10" s="109">
        <v>1040</v>
      </c>
      <c r="AA10" s="153">
        <v>1039</v>
      </c>
    </row>
    <row r="11" spans="2:27" ht="15" customHeight="1">
      <c r="B11" s="219" t="s">
        <v>200</v>
      </c>
      <c r="C11" s="220"/>
      <c r="D11" s="220"/>
      <c r="E11" s="220"/>
      <c r="F11" s="77">
        <v>91046</v>
      </c>
      <c r="G11" s="80">
        <v>175851</v>
      </c>
      <c r="H11" s="77">
        <v>20878</v>
      </c>
      <c r="I11" s="75">
        <v>44348</v>
      </c>
      <c r="J11" s="75">
        <v>1303</v>
      </c>
      <c r="K11" s="75">
        <v>4575</v>
      </c>
      <c r="L11" s="75">
        <v>22181</v>
      </c>
      <c r="M11" s="86">
        <v>48923</v>
      </c>
      <c r="N11" s="83">
        <v>5003</v>
      </c>
      <c r="O11" s="75">
        <v>88</v>
      </c>
      <c r="P11" s="75">
        <v>11229</v>
      </c>
      <c r="Q11" s="80">
        <v>16193</v>
      </c>
      <c r="R11" s="77">
        <v>233488</v>
      </c>
      <c r="S11" s="86">
        <v>364662</v>
      </c>
      <c r="T11" s="145">
        <v>43958</v>
      </c>
      <c r="U11" s="122">
        <v>14515</v>
      </c>
      <c r="V11" s="83">
        <v>213389</v>
      </c>
      <c r="W11" s="80">
        <v>371305</v>
      </c>
      <c r="X11" s="77">
        <v>4047</v>
      </c>
      <c r="Y11" s="75">
        <v>4055</v>
      </c>
      <c r="Z11" s="75">
        <v>26456</v>
      </c>
      <c r="AA11" s="86">
        <v>26470</v>
      </c>
    </row>
    <row r="12" spans="2:27" ht="15" customHeight="1">
      <c r="B12" s="219" t="s">
        <v>201</v>
      </c>
      <c r="C12" s="220"/>
      <c r="D12" s="220"/>
      <c r="E12" s="220"/>
      <c r="F12" s="77">
        <v>68057</v>
      </c>
      <c r="G12" s="80">
        <v>133685</v>
      </c>
      <c r="H12" s="77">
        <v>15721</v>
      </c>
      <c r="I12" s="75">
        <v>33769</v>
      </c>
      <c r="J12" s="75">
        <v>967</v>
      </c>
      <c r="K12" s="75">
        <v>3443</v>
      </c>
      <c r="L12" s="75">
        <v>16688</v>
      </c>
      <c r="M12" s="86">
        <v>37212</v>
      </c>
      <c r="N12" s="83">
        <v>3417</v>
      </c>
      <c r="O12" s="75">
        <v>30</v>
      </c>
      <c r="P12" s="75">
        <v>6939</v>
      </c>
      <c r="Q12" s="80">
        <v>10400</v>
      </c>
      <c r="R12" s="77">
        <v>140621</v>
      </c>
      <c r="S12" s="86">
        <v>224769</v>
      </c>
      <c r="T12" s="145">
        <v>25168</v>
      </c>
      <c r="U12" s="122">
        <v>6689</v>
      </c>
      <c r="V12" s="83">
        <v>135852</v>
      </c>
      <c r="W12" s="80">
        <v>240524</v>
      </c>
      <c r="X12" s="77">
        <v>2793</v>
      </c>
      <c r="Y12" s="75">
        <v>2798</v>
      </c>
      <c r="Z12" s="75">
        <v>19599</v>
      </c>
      <c r="AA12" s="86">
        <v>19607</v>
      </c>
    </row>
    <row r="13" spans="2:27" ht="15" customHeight="1">
      <c r="B13" s="219" t="s">
        <v>202</v>
      </c>
      <c r="C13" s="220"/>
      <c r="D13" s="220"/>
      <c r="E13" s="220"/>
      <c r="F13" s="77">
        <v>22989</v>
      </c>
      <c r="G13" s="80">
        <v>42166</v>
      </c>
      <c r="H13" s="77">
        <v>5157</v>
      </c>
      <c r="I13" s="75">
        <v>10579</v>
      </c>
      <c r="J13" s="75">
        <v>336</v>
      </c>
      <c r="K13" s="75">
        <v>1132</v>
      </c>
      <c r="L13" s="75">
        <v>5493</v>
      </c>
      <c r="M13" s="86">
        <v>11711</v>
      </c>
      <c r="N13" s="83">
        <v>1586</v>
      </c>
      <c r="O13" s="75">
        <v>58</v>
      </c>
      <c r="P13" s="75">
        <v>4290</v>
      </c>
      <c r="Q13" s="80">
        <v>5793</v>
      </c>
      <c r="R13" s="77">
        <v>92867</v>
      </c>
      <c r="S13" s="86">
        <v>139893</v>
      </c>
      <c r="T13" s="145">
        <v>18790</v>
      </c>
      <c r="U13" s="122">
        <v>7826</v>
      </c>
      <c r="V13" s="83">
        <v>77537</v>
      </c>
      <c r="W13" s="80">
        <v>130781</v>
      </c>
      <c r="X13" s="77">
        <v>1254</v>
      </c>
      <c r="Y13" s="75">
        <v>1257</v>
      </c>
      <c r="Z13" s="75">
        <v>6857</v>
      </c>
      <c r="AA13" s="86">
        <v>6863</v>
      </c>
    </row>
    <row r="14" spans="2:27" ht="15" customHeight="1">
      <c r="B14" s="219" t="s">
        <v>43</v>
      </c>
      <c r="C14" s="220"/>
      <c r="D14" s="220"/>
      <c r="E14" s="220"/>
      <c r="F14" s="77">
        <v>1605</v>
      </c>
      <c r="G14" s="80">
        <v>2986</v>
      </c>
      <c r="H14" s="77">
        <v>339</v>
      </c>
      <c r="I14" s="75">
        <v>670</v>
      </c>
      <c r="J14" s="75">
        <v>21</v>
      </c>
      <c r="K14" s="75">
        <v>97</v>
      </c>
      <c r="L14" s="75">
        <v>360</v>
      </c>
      <c r="M14" s="86">
        <v>767</v>
      </c>
      <c r="N14" s="83">
        <v>126</v>
      </c>
      <c r="O14" s="75">
        <v>7</v>
      </c>
      <c r="P14" s="75">
        <v>375</v>
      </c>
      <c r="Q14" s="80">
        <v>518</v>
      </c>
      <c r="R14" s="77">
        <v>6715</v>
      </c>
      <c r="S14" s="86">
        <v>11037</v>
      </c>
      <c r="T14" s="145">
        <v>1346</v>
      </c>
      <c r="U14" s="122">
        <v>489</v>
      </c>
      <c r="V14" s="83">
        <v>5758</v>
      </c>
      <c r="W14" s="80">
        <v>10487</v>
      </c>
      <c r="X14" s="77">
        <v>61</v>
      </c>
      <c r="Y14" s="75">
        <v>61</v>
      </c>
      <c r="Z14" s="75">
        <v>558</v>
      </c>
      <c r="AA14" s="86">
        <v>558</v>
      </c>
    </row>
    <row r="15" spans="2:27" ht="15" customHeight="1">
      <c r="B15" s="219" t="s">
        <v>44</v>
      </c>
      <c r="C15" s="220"/>
      <c r="D15" s="220"/>
      <c r="E15" s="220"/>
      <c r="F15" s="77">
        <v>954</v>
      </c>
      <c r="G15" s="80">
        <v>1736</v>
      </c>
      <c r="H15" s="77">
        <v>200</v>
      </c>
      <c r="I15" s="75">
        <v>418</v>
      </c>
      <c r="J15" s="75">
        <v>13</v>
      </c>
      <c r="K15" s="75">
        <v>64</v>
      </c>
      <c r="L15" s="75">
        <v>213</v>
      </c>
      <c r="M15" s="86">
        <v>482</v>
      </c>
      <c r="N15" s="83">
        <v>93</v>
      </c>
      <c r="O15" s="75">
        <v>3</v>
      </c>
      <c r="P15" s="75">
        <v>281</v>
      </c>
      <c r="Q15" s="80">
        <v>493</v>
      </c>
      <c r="R15" s="77">
        <v>5167</v>
      </c>
      <c r="S15" s="86">
        <v>8586</v>
      </c>
      <c r="T15" s="145">
        <v>930</v>
      </c>
      <c r="U15" s="122">
        <v>465</v>
      </c>
      <c r="V15" s="83">
        <v>4478</v>
      </c>
      <c r="W15" s="80">
        <v>8166</v>
      </c>
      <c r="X15" s="77">
        <v>40</v>
      </c>
      <c r="Y15" s="75">
        <v>40</v>
      </c>
      <c r="Z15" s="75">
        <v>400</v>
      </c>
      <c r="AA15" s="86">
        <v>399</v>
      </c>
    </row>
    <row r="16" spans="2:27" ht="15" customHeight="1">
      <c r="B16" s="219" t="s">
        <v>45</v>
      </c>
      <c r="C16" s="220"/>
      <c r="D16" s="220"/>
      <c r="E16" s="220"/>
      <c r="F16" s="77">
        <v>220</v>
      </c>
      <c r="G16" s="80">
        <v>368</v>
      </c>
      <c r="H16" s="77">
        <v>35</v>
      </c>
      <c r="I16" s="75">
        <v>76</v>
      </c>
      <c r="J16" s="75">
        <v>0</v>
      </c>
      <c r="K16" s="75">
        <v>6</v>
      </c>
      <c r="L16" s="75">
        <v>35</v>
      </c>
      <c r="M16" s="86">
        <v>82</v>
      </c>
      <c r="N16" s="83">
        <v>49</v>
      </c>
      <c r="O16" s="75">
        <v>1</v>
      </c>
      <c r="P16" s="75">
        <v>175</v>
      </c>
      <c r="Q16" s="80">
        <v>227</v>
      </c>
      <c r="R16" s="77">
        <v>1551</v>
      </c>
      <c r="S16" s="86">
        <v>2272</v>
      </c>
      <c r="T16" s="145">
        <v>316</v>
      </c>
      <c r="U16" s="122">
        <v>196</v>
      </c>
      <c r="V16" s="83">
        <v>1301</v>
      </c>
      <c r="W16" s="80">
        <v>2069</v>
      </c>
      <c r="X16" s="77">
        <v>14</v>
      </c>
      <c r="Y16" s="75">
        <v>14</v>
      </c>
      <c r="Z16" s="75">
        <v>82</v>
      </c>
      <c r="AA16" s="86">
        <v>82</v>
      </c>
    </row>
    <row r="17" spans="2:27" ht="15" customHeight="1" thickBot="1">
      <c r="B17" s="217" t="s">
        <v>46</v>
      </c>
      <c r="C17" s="218"/>
      <c r="D17" s="218"/>
      <c r="E17" s="218"/>
      <c r="F17" s="77">
        <v>93825</v>
      </c>
      <c r="G17" s="80">
        <v>180941</v>
      </c>
      <c r="H17" s="77">
        <v>21452</v>
      </c>
      <c r="I17" s="75">
        <v>45512</v>
      </c>
      <c r="J17" s="75">
        <v>1337</v>
      </c>
      <c r="K17" s="75">
        <v>4742</v>
      </c>
      <c r="L17" s="75">
        <v>22789</v>
      </c>
      <c r="M17" s="86">
        <v>50254</v>
      </c>
      <c r="N17" s="83">
        <v>5271</v>
      </c>
      <c r="O17" s="75">
        <v>99</v>
      </c>
      <c r="P17" s="75">
        <v>12060</v>
      </c>
      <c r="Q17" s="80">
        <v>17431</v>
      </c>
      <c r="R17" s="77">
        <v>246921</v>
      </c>
      <c r="S17" s="86">
        <v>386557</v>
      </c>
      <c r="T17" s="145">
        <v>46550</v>
      </c>
      <c r="U17" s="122">
        <v>15665</v>
      </c>
      <c r="V17" s="83">
        <v>224926</v>
      </c>
      <c r="W17" s="80">
        <v>392027</v>
      </c>
      <c r="X17" s="77">
        <v>4162</v>
      </c>
      <c r="Y17" s="75">
        <v>4170</v>
      </c>
      <c r="Z17" s="75">
        <v>27496</v>
      </c>
      <c r="AA17" s="86">
        <v>27509</v>
      </c>
    </row>
    <row r="18" spans="2:27" ht="15" customHeight="1" thickBot="1">
      <c r="B18" s="13" t="s">
        <v>203</v>
      </c>
      <c r="C18" s="13" t="s">
        <v>196</v>
      </c>
      <c r="D18" s="13" t="s">
        <v>197</v>
      </c>
      <c r="E18" s="73" t="s">
        <v>198</v>
      </c>
      <c r="F18" s="78"/>
      <c r="G18" s="81"/>
      <c r="H18" s="78"/>
      <c r="I18" s="76"/>
      <c r="J18" s="76"/>
      <c r="K18" s="76"/>
      <c r="L18" s="76"/>
      <c r="M18" s="87"/>
      <c r="N18" s="84"/>
      <c r="O18" s="76"/>
      <c r="P18" s="76"/>
      <c r="Q18" s="81"/>
      <c r="R18" s="78"/>
      <c r="S18" s="87"/>
      <c r="T18" s="146"/>
      <c r="U18" s="150"/>
      <c r="V18" s="84"/>
      <c r="W18" s="81"/>
      <c r="X18" s="78"/>
      <c r="Y18" s="76"/>
      <c r="Z18" s="76"/>
      <c r="AA18" s="87"/>
    </row>
    <row r="19" spans="2:27" ht="15" customHeight="1">
      <c r="B19" s="94" t="s">
        <v>48</v>
      </c>
      <c r="C19" s="95">
        <v>1</v>
      </c>
      <c r="D19" s="95" t="s">
        <v>47</v>
      </c>
      <c r="E19" s="106">
        <v>1</v>
      </c>
      <c r="F19" s="140">
        <v>9</v>
      </c>
      <c r="G19" s="141">
        <v>18</v>
      </c>
      <c r="H19" s="140">
        <v>5</v>
      </c>
      <c r="I19" s="138">
        <v>10</v>
      </c>
      <c r="J19" s="138">
        <v>0</v>
      </c>
      <c r="K19" s="138">
        <v>3</v>
      </c>
      <c r="L19" s="71">
        <f aca="true" t="shared" si="0" ref="L19:L50">SUM(H19,J19)</f>
        <v>5</v>
      </c>
      <c r="M19" s="88">
        <f aca="true" t="shared" si="1" ref="M19:M50">SUM(I19,K19)</f>
        <v>13</v>
      </c>
      <c r="N19" s="142">
        <v>2</v>
      </c>
      <c r="O19" s="138"/>
      <c r="P19" s="138">
        <v>6</v>
      </c>
      <c r="Q19" s="141">
        <v>8</v>
      </c>
      <c r="R19" s="140">
        <v>80</v>
      </c>
      <c r="S19" s="143">
        <v>135</v>
      </c>
      <c r="T19" s="147">
        <v>17</v>
      </c>
      <c r="U19" s="151">
        <v>2</v>
      </c>
      <c r="V19" s="148">
        <f aca="true" t="shared" si="2" ref="V19:V50">SUM(L19+Q19+R19-T19-U19)</f>
        <v>74</v>
      </c>
      <c r="W19" s="152">
        <f aca="true" t="shared" si="3" ref="W19:W50">SUM(M19+Q19+S19-T19-U19)</f>
        <v>137</v>
      </c>
      <c r="X19" s="140">
        <v>0</v>
      </c>
      <c r="Y19" s="138">
        <v>0</v>
      </c>
      <c r="Z19" s="138">
        <v>3</v>
      </c>
      <c r="AA19" s="143">
        <v>3</v>
      </c>
    </row>
    <row r="20" spans="2:27" ht="15" customHeight="1">
      <c r="B20" s="97" t="s">
        <v>49</v>
      </c>
      <c r="C20" s="20"/>
      <c r="D20" s="20"/>
      <c r="E20" s="33">
        <v>2</v>
      </c>
      <c r="F20" s="140">
        <v>693</v>
      </c>
      <c r="G20" s="141">
        <v>1433</v>
      </c>
      <c r="H20" s="140">
        <v>184</v>
      </c>
      <c r="I20" s="138">
        <v>436</v>
      </c>
      <c r="J20" s="138">
        <v>10</v>
      </c>
      <c r="K20" s="138">
        <v>36</v>
      </c>
      <c r="L20" s="71">
        <f t="shared" si="0"/>
        <v>194</v>
      </c>
      <c r="M20" s="88">
        <f t="shared" si="1"/>
        <v>472</v>
      </c>
      <c r="N20" s="142">
        <v>15</v>
      </c>
      <c r="O20" s="138"/>
      <c r="P20" s="138">
        <v>53</v>
      </c>
      <c r="Q20" s="141">
        <v>69</v>
      </c>
      <c r="R20" s="140">
        <v>1693</v>
      </c>
      <c r="S20" s="143">
        <v>2830</v>
      </c>
      <c r="T20" s="147">
        <v>273</v>
      </c>
      <c r="U20" s="151">
        <v>121</v>
      </c>
      <c r="V20" s="148">
        <f t="shared" si="2"/>
        <v>1562</v>
      </c>
      <c r="W20" s="152">
        <f t="shared" si="3"/>
        <v>2977</v>
      </c>
      <c r="X20" s="140">
        <v>34</v>
      </c>
      <c r="Y20" s="138">
        <v>34</v>
      </c>
      <c r="Z20" s="138">
        <v>154</v>
      </c>
      <c r="AA20" s="143">
        <v>154</v>
      </c>
    </row>
    <row r="21" spans="2:27" ht="15" customHeight="1">
      <c r="B21" s="97" t="s">
        <v>50</v>
      </c>
      <c r="C21" s="20">
        <v>1</v>
      </c>
      <c r="D21" s="20" t="s">
        <v>47</v>
      </c>
      <c r="E21" s="33">
        <v>3</v>
      </c>
      <c r="F21" s="140">
        <v>48</v>
      </c>
      <c r="G21" s="141">
        <v>95</v>
      </c>
      <c r="H21" s="140">
        <v>12</v>
      </c>
      <c r="I21" s="138">
        <v>26</v>
      </c>
      <c r="J21" s="138">
        <v>0</v>
      </c>
      <c r="K21" s="138">
        <v>1</v>
      </c>
      <c r="L21" s="71">
        <f t="shared" si="0"/>
        <v>12</v>
      </c>
      <c r="M21" s="88">
        <f t="shared" si="1"/>
        <v>27</v>
      </c>
      <c r="N21" s="142">
        <v>11</v>
      </c>
      <c r="O21" s="138"/>
      <c r="P21" s="138">
        <v>14</v>
      </c>
      <c r="Q21" s="141">
        <v>25</v>
      </c>
      <c r="R21" s="140">
        <v>217</v>
      </c>
      <c r="S21" s="143">
        <v>412</v>
      </c>
      <c r="T21" s="147">
        <v>25</v>
      </c>
      <c r="U21" s="151">
        <v>12</v>
      </c>
      <c r="V21" s="148">
        <f t="shared" si="2"/>
        <v>217</v>
      </c>
      <c r="W21" s="152">
        <f t="shared" si="3"/>
        <v>427</v>
      </c>
      <c r="X21" s="140">
        <v>1</v>
      </c>
      <c r="Y21" s="138">
        <v>1</v>
      </c>
      <c r="Z21" s="138">
        <v>12</v>
      </c>
      <c r="AA21" s="143">
        <v>12</v>
      </c>
    </row>
    <row r="22" spans="2:27" ht="15" customHeight="1">
      <c r="B22" s="97" t="s">
        <v>51</v>
      </c>
      <c r="C22" s="20"/>
      <c r="D22" s="20"/>
      <c r="E22" s="107">
        <v>4</v>
      </c>
      <c r="F22" s="140">
        <v>37</v>
      </c>
      <c r="G22" s="141">
        <v>57</v>
      </c>
      <c r="H22" s="140">
        <v>6</v>
      </c>
      <c r="I22" s="138">
        <v>11</v>
      </c>
      <c r="J22" s="138"/>
      <c r="K22" s="138"/>
      <c r="L22" s="71">
        <f t="shared" si="0"/>
        <v>6</v>
      </c>
      <c r="M22" s="88">
        <f t="shared" si="1"/>
        <v>11</v>
      </c>
      <c r="N22" s="142">
        <v>7</v>
      </c>
      <c r="O22" s="138"/>
      <c r="P22" s="138">
        <v>13</v>
      </c>
      <c r="Q22" s="141">
        <v>21</v>
      </c>
      <c r="R22" s="140">
        <v>328</v>
      </c>
      <c r="S22" s="143">
        <v>448</v>
      </c>
      <c r="T22" s="147">
        <v>71</v>
      </c>
      <c r="U22" s="151">
        <v>31</v>
      </c>
      <c r="V22" s="148">
        <f t="shared" si="2"/>
        <v>253</v>
      </c>
      <c r="W22" s="152">
        <f t="shared" si="3"/>
        <v>378</v>
      </c>
      <c r="X22" s="140">
        <v>5</v>
      </c>
      <c r="Y22" s="138">
        <v>5</v>
      </c>
      <c r="Z22" s="138">
        <v>20</v>
      </c>
      <c r="AA22" s="143">
        <v>20</v>
      </c>
    </row>
    <row r="23" spans="2:27" ht="15" customHeight="1">
      <c r="B23" s="97" t="s">
        <v>53</v>
      </c>
      <c r="C23" s="20">
        <v>1</v>
      </c>
      <c r="D23" s="20" t="s">
        <v>52</v>
      </c>
      <c r="E23" s="33">
        <v>5</v>
      </c>
      <c r="F23" s="140">
        <v>16</v>
      </c>
      <c r="G23" s="141">
        <v>36</v>
      </c>
      <c r="H23" s="140">
        <v>6</v>
      </c>
      <c r="I23" s="138">
        <v>11</v>
      </c>
      <c r="J23" s="138"/>
      <c r="K23" s="138"/>
      <c r="L23" s="71">
        <f t="shared" si="0"/>
        <v>6</v>
      </c>
      <c r="M23" s="88">
        <f t="shared" si="1"/>
        <v>11</v>
      </c>
      <c r="N23" s="142"/>
      <c r="O23" s="138"/>
      <c r="P23" s="138">
        <v>2</v>
      </c>
      <c r="Q23" s="141">
        <v>2</v>
      </c>
      <c r="R23" s="140">
        <v>103</v>
      </c>
      <c r="S23" s="143">
        <v>192</v>
      </c>
      <c r="T23" s="147">
        <v>13</v>
      </c>
      <c r="U23" s="151">
        <v>4</v>
      </c>
      <c r="V23" s="148">
        <f t="shared" si="2"/>
        <v>94</v>
      </c>
      <c r="W23" s="152">
        <f t="shared" si="3"/>
        <v>188</v>
      </c>
      <c r="X23" s="140">
        <v>0</v>
      </c>
      <c r="Y23" s="138">
        <v>0</v>
      </c>
      <c r="Z23" s="138">
        <v>9</v>
      </c>
      <c r="AA23" s="143">
        <v>9</v>
      </c>
    </row>
    <row r="24" spans="2:27" ht="15" customHeight="1">
      <c r="B24" s="97" t="s">
        <v>54</v>
      </c>
      <c r="C24" s="20">
        <v>1</v>
      </c>
      <c r="D24" s="20" t="s">
        <v>52</v>
      </c>
      <c r="E24" s="33">
        <v>6</v>
      </c>
      <c r="F24" s="140">
        <v>40</v>
      </c>
      <c r="G24" s="141">
        <v>62</v>
      </c>
      <c r="H24" s="140">
        <v>8</v>
      </c>
      <c r="I24" s="138">
        <v>17</v>
      </c>
      <c r="J24" s="138"/>
      <c r="K24" s="138">
        <v>2</v>
      </c>
      <c r="L24" s="71">
        <f t="shared" si="0"/>
        <v>8</v>
      </c>
      <c r="M24" s="88">
        <f t="shared" si="1"/>
        <v>19</v>
      </c>
      <c r="N24" s="142">
        <v>2</v>
      </c>
      <c r="O24" s="138"/>
      <c r="P24" s="138">
        <v>6</v>
      </c>
      <c r="Q24" s="141">
        <v>8</v>
      </c>
      <c r="R24" s="140">
        <v>173</v>
      </c>
      <c r="S24" s="143">
        <v>294</v>
      </c>
      <c r="T24" s="147">
        <v>27</v>
      </c>
      <c r="U24" s="151">
        <v>24</v>
      </c>
      <c r="V24" s="148">
        <f t="shared" si="2"/>
        <v>138</v>
      </c>
      <c r="W24" s="152">
        <f t="shared" si="3"/>
        <v>270</v>
      </c>
      <c r="X24" s="140">
        <v>2</v>
      </c>
      <c r="Y24" s="138">
        <v>2</v>
      </c>
      <c r="Z24" s="138">
        <v>18</v>
      </c>
      <c r="AA24" s="143">
        <v>18</v>
      </c>
    </row>
    <row r="25" spans="2:27" ht="15" customHeight="1">
      <c r="B25" s="97" t="s">
        <v>55</v>
      </c>
      <c r="C25" s="20"/>
      <c r="D25" s="20"/>
      <c r="E25" s="107">
        <v>7</v>
      </c>
      <c r="F25" s="140">
        <v>95</v>
      </c>
      <c r="G25" s="141">
        <v>142</v>
      </c>
      <c r="H25" s="140">
        <v>18</v>
      </c>
      <c r="I25" s="138">
        <v>35</v>
      </c>
      <c r="J25" s="138">
        <v>1</v>
      </c>
      <c r="K25" s="138">
        <v>3</v>
      </c>
      <c r="L25" s="71">
        <f t="shared" si="0"/>
        <v>19</v>
      </c>
      <c r="M25" s="88">
        <f t="shared" si="1"/>
        <v>38</v>
      </c>
      <c r="N25" s="142">
        <v>30</v>
      </c>
      <c r="O25" s="138"/>
      <c r="P25" s="138">
        <v>39</v>
      </c>
      <c r="Q25" s="141">
        <v>69</v>
      </c>
      <c r="R25" s="140">
        <v>514</v>
      </c>
      <c r="S25" s="143">
        <v>808</v>
      </c>
      <c r="T25" s="147">
        <v>109</v>
      </c>
      <c r="U25" s="151">
        <v>61</v>
      </c>
      <c r="V25" s="148">
        <f t="shared" si="2"/>
        <v>432</v>
      </c>
      <c r="W25" s="152">
        <f t="shared" si="3"/>
        <v>745</v>
      </c>
      <c r="X25" s="140">
        <v>7</v>
      </c>
      <c r="Y25" s="138">
        <v>7</v>
      </c>
      <c r="Z25" s="138">
        <v>40</v>
      </c>
      <c r="AA25" s="143">
        <v>40</v>
      </c>
    </row>
    <row r="26" spans="2:27" ht="15" customHeight="1">
      <c r="B26" s="97" t="s">
        <v>56</v>
      </c>
      <c r="C26" s="20">
        <v>1</v>
      </c>
      <c r="D26" s="20" t="s">
        <v>52</v>
      </c>
      <c r="E26" s="33">
        <v>8</v>
      </c>
      <c r="F26" s="140">
        <v>13</v>
      </c>
      <c r="G26" s="141">
        <v>19</v>
      </c>
      <c r="H26" s="140">
        <v>3</v>
      </c>
      <c r="I26" s="138">
        <v>7</v>
      </c>
      <c r="J26" s="138"/>
      <c r="K26" s="138"/>
      <c r="L26" s="71">
        <f t="shared" si="0"/>
        <v>3</v>
      </c>
      <c r="M26" s="88">
        <f t="shared" si="1"/>
        <v>7</v>
      </c>
      <c r="N26" s="142">
        <v>1</v>
      </c>
      <c r="O26" s="138"/>
      <c r="P26" s="138">
        <v>9</v>
      </c>
      <c r="Q26" s="141">
        <v>10</v>
      </c>
      <c r="R26" s="140">
        <v>84</v>
      </c>
      <c r="S26" s="143">
        <v>149</v>
      </c>
      <c r="T26" s="147">
        <v>9</v>
      </c>
      <c r="U26" s="151">
        <v>5</v>
      </c>
      <c r="V26" s="148">
        <f t="shared" si="2"/>
        <v>83</v>
      </c>
      <c r="W26" s="152">
        <f t="shared" si="3"/>
        <v>152</v>
      </c>
      <c r="X26" s="140">
        <v>0</v>
      </c>
      <c r="Y26" s="138">
        <v>0</v>
      </c>
      <c r="Z26" s="138">
        <v>13</v>
      </c>
      <c r="AA26" s="143">
        <v>13</v>
      </c>
    </row>
    <row r="27" spans="2:27" ht="15" customHeight="1">
      <c r="B27" s="97" t="s">
        <v>57</v>
      </c>
      <c r="C27" s="20"/>
      <c r="D27" s="20"/>
      <c r="E27" s="33">
        <v>9</v>
      </c>
      <c r="F27" s="140">
        <v>111</v>
      </c>
      <c r="G27" s="141">
        <v>174</v>
      </c>
      <c r="H27" s="140">
        <v>12</v>
      </c>
      <c r="I27" s="138">
        <v>22</v>
      </c>
      <c r="J27" s="138"/>
      <c r="K27" s="138">
        <v>1</v>
      </c>
      <c r="L27" s="71">
        <f t="shared" si="0"/>
        <v>12</v>
      </c>
      <c r="M27" s="88">
        <f t="shared" si="1"/>
        <v>23</v>
      </c>
      <c r="N27" s="142">
        <v>6</v>
      </c>
      <c r="O27" s="138"/>
      <c r="P27" s="138">
        <v>16</v>
      </c>
      <c r="Q27" s="141">
        <v>23</v>
      </c>
      <c r="R27" s="140">
        <v>740</v>
      </c>
      <c r="S27" s="143">
        <v>1107</v>
      </c>
      <c r="T27" s="147">
        <v>140</v>
      </c>
      <c r="U27" s="151">
        <v>55</v>
      </c>
      <c r="V27" s="148">
        <f t="shared" si="2"/>
        <v>580</v>
      </c>
      <c r="W27" s="152">
        <f t="shared" si="3"/>
        <v>958</v>
      </c>
      <c r="X27" s="140">
        <v>10</v>
      </c>
      <c r="Y27" s="138">
        <v>10</v>
      </c>
      <c r="Z27" s="138">
        <v>36</v>
      </c>
      <c r="AA27" s="143">
        <v>36</v>
      </c>
    </row>
    <row r="28" spans="2:27" ht="15" customHeight="1">
      <c r="B28" s="97" t="s">
        <v>58</v>
      </c>
      <c r="C28" s="20">
        <v>1</v>
      </c>
      <c r="D28" s="20" t="s">
        <v>52</v>
      </c>
      <c r="E28" s="107">
        <v>10</v>
      </c>
      <c r="F28" s="140">
        <v>18</v>
      </c>
      <c r="G28" s="141">
        <v>28</v>
      </c>
      <c r="H28" s="140">
        <v>2</v>
      </c>
      <c r="I28" s="138">
        <v>2</v>
      </c>
      <c r="J28" s="138"/>
      <c r="K28" s="138"/>
      <c r="L28" s="71">
        <f t="shared" si="0"/>
        <v>2</v>
      </c>
      <c r="M28" s="88">
        <f t="shared" si="1"/>
        <v>2</v>
      </c>
      <c r="N28" s="142"/>
      <c r="O28" s="138"/>
      <c r="P28" s="138">
        <v>4</v>
      </c>
      <c r="Q28" s="141">
        <v>5</v>
      </c>
      <c r="R28" s="140">
        <v>135</v>
      </c>
      <c r="S28" s="143">
        <v>222</v>
      </c>
      <c r="T28" s="147">
        <v>32</v>
      </c>
      <c r="U28" s="151">
        <v>10</v>
      </c>
      <c r="V28" s="148">
        <f t="shared" si="2"/>
        <v>100</v>
      </c>
      <c r="W28" s="152">
        <f t="shared" si="3"/>
        <v>187</v>
      </c>
      <c r="X28" s="140">
        <v>0</v>
      </c>
      <c r="Y28" s="138">
        <v>0</v>
      </c>
      <c r="Z28" s="138">
        <v>3</v>
      </c>
      <c r="AA28" s="143">
        <v>3</v>
      </c>
    </row>
    <row r="29" spans="2:27" ht="15" customHeight="1">
      <c r="B29" s="97" t="s">
        <v>59</v>
      </c>
      <c r="C29" s="20"/>
      <c r="D29" s="20"/>
      <c r="E29" s="33">
        <v>11</v>
      </c>
      <c r="F29" s="140">
        <v>459</v>
      </c>
      <c r="G29" s="141">
        <v>764</v>
      </c>
      <c r="H29" s="140">
        <v>126</v>
      </c>
      <c r="I29" s="138">
        <v>215</v>
      </c>
      <c r="J29" s="138">
        <v>1</v>
      </c>
      <c r="K29" s="138">
        <v>4</v>
      </c>
      <c r="L29" s="71">
        <f t="shared" si="0"/>
        <v>127</v>
      </c>
      <c r="M29" s="88">
        <f t="shared" si="1"/>
        <v>219</v>
      </c>
      <c r="N29" s="142">
        <v>43</v>
      </c>
      <c r="O29" s="138">
        <v>4</v>
      </c>
      <c r="P29" s="138">
        <v>70</v>
      </c>
      <c r="Q29" s="141">
        <v>117</v>
      </c>
      <c r="R29" s="140">
        <v>1813</v>
      </c>
      <c r="S29" s="143">
        <v>2483</v>
      </c>
      <c r="T29" s="147">
        <v>385</v>
      </c>
      <c r="U29" s="151">
        <v>117</v>
      </c>
      <c r="V29" s="148">
        <f t="shared" si="2"/>
        <v>1555</v>
      </c>
      <c r="W29" s="152">
        <f t="shared" si="3"/>
        <v>2317</v>
      </c>
      <c r="X29" s="140">
        <v>21</v>
      </c>
      <c r="Y29" s="138">
        <v>21</v>
      </c>
      <c r="Z29" s="138">
        <v>157</v>
      </c>
      <c r="AA29" s="143">
        <v>157</v>
      </c>
    </row>
    <row r="30" spans="2:27" ht="15" customHeight="1">
      <c r="B30" s="97" t="s">
        <v>60</v>
      </c>
      <c r="C30" s="20">
        <v>1</v>
      </c>
      <c r="D30" s="20" t="s">
        <v>47</v>
      </c>
      <c r="E30" s="33">
        <v>12</v>
      </c>
      <c r="F30" s="140">
        <v>12</v>
      </c>
      <c r="G30" s="141">
        <v>21</v>
      </c>
      <c r="H30" s="140">
        <v>6</v>
      </c>
      <c r="I30" s="138">
        <v>11</v>
      </c>
      <c r="J30" s="138"/>
      <c r="K30" s="138"/>
      <c r="L30" s="71">
        <f t="shared" si="0"/>
        <v>6</v>
      </c>
      <c r="M30" s="88">
        <f t="shared" si="1"/>
        <v>11</v>
      </c>
      <c r="N30" s="142"/>
      <c r="O30" s="138"/>
      <c r="P30" s="138">
        <v>9</v>
      </c>
      <c r="Q30" s="141">
        <v>9</v>
      </c>
      <c r="R30" s="140">
        <v>87</v>
      </c>
      <c r="S30" s="143">
        <v>149</v>
      </c>
      <c r="T30" s="147">
        <v>11</v>
      </c>
      <c r="U30" s="151">
        <v>7</v>
      </c>
      <c r="V30" s="148">
        <f t="shared" si="2"/>
        <v>84</v>
      </c>
      <c r="W30" s="152">
        <f t="shared" si="3"/>
        <v>151</v>
      </c>
      <c r="X30" s="140"/>
      <c r="Y30" s="138"/>
      <c r="Z30" s="138">
        <v>7</v>
      </c>
      <c r="AA30" s="143">
        <v>7</v>
      </c>
    </row>
    <row r="31" spans="2:27" ht="15" customHeight="1">
      <c r="B31" s="97" t="s">
        <v>61</v>
      </c>
      <c r="C31" s="20">
        <v>1</v>
      </c>
      <c r="D31" s="20" t="s">
        <v>47</v>
      </c>
      <c r="E31" s="107">
        <v>13</v>
      </c>
      <c r="F31" s="140">
        <v>43</v>
      </c>
      <c r="G31" s="141">
        <v>65</v>
      </c>
      <c r="H31" s="140">
        <v>7</v>
      </c>
      <c r="I31" s="138">
        <v>16</v>
      </c>
      <c r="J31" s="138"/>
      <c r="K31" s="138"/>
      <c r="L31" s="71">
        <f t="shared" si="0"/>
        <v>7</v>
      </c>
      <c r="M31" s="88">
        <f t="shared" si="1"/>
        <v>16</v>
      </c>
      <c r="N31" s="142">
        <v>16</v>
      </c>
      <c r="O31" s="138"/>
      <c r="P31" s="138">
        <v>19</v>
      </c>
      <c r="Q31" s="141">
        <v>35</v>
      </c>
      <c r="R31" s="140">
        <v>103</v>
      </c>
      <c r="S31" s="143">
        <v>151</v>
      </c>
      <c r="T31" s="147">
        <v>28</v>
      </c>
      <c r="U31" s="151">
        <v>7</v>
      </c>
      <c r="V31" s="148">
        <f t="shared" si="2"/>
        <v>110</v>
      </c>
      <c r="W31" s="152">
        <f t="shared" si="3"/>
        <v>167</v>
      </c>
      <c r="X31" s="140">
        <v>3</v>
      </c>
      <c r="Y31" s="138">
        <v>3</v>
      </c>
      <c r="Z31" s="138">
        <v>33</v>
      </c>
      <c r="AA31" s="143">
        <v>33</v>
      </c>
    </row>
    <row r="32" spans="2:27" ht="15" customHeight="1">
      <c r="B32" s="97" t="s">
        <v>62</v>
      </c>
      <c r="C32" s="20"/>
      <c r="D32" s="20"/>
      <c r="E32" s="33">
        <v>14</v>
      </c>
      <c r="F32" s="140">
        <v>367</v>
      </c>
      <c r="G32" s="141">
        <v>579</v>
      </c>
      <c r="H32" s="140">
        <v>76</v>
      </c>
      <c r="I32" s="138">
        <v>148</v>
      </c>
      <c r="J32" s="138">
        <v>6</v>
      </c>
      <c r="K32" s="138">
        <v>20</v>
      </c>
      <c r="L32" s="71">
        <f t="shared" si="0"/>
        <v>82</v>
      </c>
      <c r="M32" s="88">
        <f t="shared" si="1"/>
        <v>168</v>
      </c>
      <c r="N32" s="142">
        <v>15</v>
      </c>
      <c r="O32" s="138"/>
      <c r="P32" s="138">
        <v>91</v>
      </c>
      <c r="Q32" s="141">
        <v>107</v>
      </c>
      <c r="R32" s="140">
        <v>1385</v>
      </c>
      <c r="S32" s="143">
        <v>1965</v>
      </c>
      <c r="T32" s="147">
        <v>286</v>
      </c>
      <c r="U32" s="151">
        <v>155</v>
      </c>
      <c r="V32" s="148">
        <f t="shared" si="2"/>
        <v>1133</v>
      </c>
      <c r="W32" s="152">
        <f t="shared" si="3"/>
        <v>1799</v>
      </c>
      <c r="X32" s="140">
        <v>24</v>
      </c>
      <c r="Y32" s="138">
        <v>24</v>
      </c>
      <c r="Z32" s="138">
        <v>127</v>
      </c>
      <c r="AA32" s="143">
        <v>127</v>
      </c>
    </row>
    <row r="33" spans="2:27" ht="15" customHeight="1">
      <c r="B33" s="97" t="s">
        <v>64</v>
      </c>
      <c r="C33" s="20" t="s">
        <v>63</v>
      </c>
      <c r="D33" s="20"/>
      <c r="E33" s="33">
        <v>15</v>
      </c>
      <c r="F33" s="140">
        <v>9633</v>
      </c>
      <c r="G33" s="141">
        <v>19491</v>
      </c>
      <c r="H33" s="140">
        <v>2205</v>
      </c>
      <c r="I33" s="138">
        <v>4541</v>
      </c>
      <c r="J33" s="138">
        <v>158</v>
      </c>
      <c r="K33" s="138">
        <v>581</v>
      </c>
      <c r="L33" s="71">
        <f t="shared" si="0"/>
        <v>2363</v>
      </c>
      <c r="M33" s="88">
        <f t="shared" si="1"/>
        <v>5122</v>
      </c>
      <c r="N33" s="142">
        <v>402</v>
      </c>
      <c r="O33" s="138">
        <v>5</v>
      </c>
      <c r="P33" s="138">
        <v>842</v>
      </c>
      <c r="Q33" s="141">
        <v>1250</v>
      </c>
      <c r="R33" s="140">
        <v>20445</v>
      </c>
      <c r="S33" s="143">
        <v>34115</v>
      </c>
      <c r="T33" s="147">
        <v>3166</v>
      </c>
      <c r="U33" s="151">
        <v>715</v>
      </c>
      <c r="V33" s="148">
        <f t="shared" si="2"/>
        <v>20177</v>
      </c>
      <c r="W33" s="152">
        <f t="shared" si="3"/>
        <v>36606</v>
      </c>
      <c r="X33" s="140">
        <v>364</v>
      </c>
      <c r="Y33" s="138">
        <v>365</v>
      </c>
      <c r="Z33" s="138">
        <v>2762</v>
      </c>
      <c r="AA33" s="143">
        <v>2763</v>
      </c>
    </row>
    <row r="34" spans="2:27" ht="15" customHeight="1">
      <c r="B34" s="97" t="s">
        <v>65</v>
      </c>
      <c r="C34" s="20">
        <v>1</v>
      </c>
      <c r="D34" s="20" t="s">
        <v>52</v>
      </c>
      <c r="E34" s="107">
        <v>16</v>
      </c>
      <c r="F34" s="140">
        <v>2</v>
      </c>
      <c r="G34" s="141">
        <v>4</v>
      </c>
      <c r="H34" s="140">
        <v>1</v>
      </c>
      <c r="I34" s="138">
        <v>2</v>
      </c>
      <c r="J34" s="138"/>
      <c r="K34" s="138"/>
      <c r="L34" s="71">
        <f t="shared" si="0"/>
        <v>1</v>
      </c>
      <c r="M34" s="88">
        <f t="shared" si="1"/>
        <v>2</v>
      </c>
      <c r="N34" s="142"/>
      <c r="O34" s="138"/>
      <c r="P34" s="138"/>
      <c r="Q34" s="141"/>
      <c r="R34" s="140">
        <v>25</v>
      </c>
      <c r="S34" s="143">
        <v>44</v>
      </c>
      <c r="T34" s="147">
        <v>1</v>
      </c>
      <c r="U34" s="151">
        <v>1</v>
      </c>
      <c r="V34" s="148">
        <f t="shared" si="2"/>
        <v>24</v>
      </c>
      <c r="W34" s="152">
        <f t="shared" si="3"/>
        <v>44</v>
      </c>
      <c r="X34" s="140"/>
      <c r="Y34" s="138"/>
      <c r="Z34" s="138">
        <v>1</v>
      </c>
      <c r="AA34" s="143">
        <v>1</v>
      </c>
    </row>
    <row r="35" spans="2:27" ht="15" customHeight="1">
      <c r="B35" s="97" t="s">
        <v>66</v>
      </c>
      <c r="C35" s="20" t="s">
        <v>63</v>
      </c>
      <c r="D35" s="20"/>
      <c r="E35" s="33">
        <v>17</v>
      </c>
      <c r="F35" s="140">
        <v>1610</v>
      </c>
      <c r="G35" s="141">
        <v>3175</v>
      </c>
      <c r="H35" s="140">
        <v>388</v>
      </c>
      <c r="I35" s="138">
        <v>853</v>
      </c>
      <c r="J35" s="138">
        <v>39</v>
      </c>
      <c r="K35" s="138">
        <v>145</v>
      </c>
      <c r="L35" s="71">
        <f t="shared" si="0"/>
        <v>427</v>
      </c>
      <c r="M35" s="88">
        <f t="shared" si="1"/>
        <v>998</v>
      </c>
      <c r="N35" s="142">
        <v>36</v>
      </c>
      <c r="O35" s="138"/>
      <c r="P35" s="138">
        <v>156</v>
      </c>
      <c r="Q35" s="141">
        <v>193</v>
      </c>
      <c r="R35" s="140">
        <v>4674</v>
      </c>
      <c r="S35" s="143">
        <v>7296</v>
      </c>
      <c r="T35" s="147">
        <v>897</v>
      </c>
      <c r="U35" s="151">
        <v>382</v>
      </c>
      <c r="V35" s="148">
        <f t="shared" si="2"/>
        <v>4015</v>
      </c>
      <c r="W35" s="152">
        <f t="shared" si="3"/>
        <v>7208</v>
      </c>
      <c r="X35" s="140">
        <v>73</v>
      </c>
      <c r="Y35" s="138">
        <v>73</v>
      </c>
      <c r="Z35" s="138">
        <v>481</v>
      </c>
      <c r="AA35" s="143">
        <v>481</v>
      </c>
    </row>
    <row r="36" spans="2:27" ht="15" customHeight="1">
      <c r="B36" s="97" t="s">
        <v>67</v>
      </c>
      <c r="C36" s="20"/>
      <c r="D36" s="20"/>
      <c r="E36" s="33">
        <v>18</v>
      </c>
      <c r="F36" s="140">
        <v>43</v>
      </c>
      <c r="G36" s="141">
        <v>65</v>
      </c>
      <c r="H36" s="140">
        <v>11</v>
      </c>
      <c r="I36" s="138">
        <v>20</v>
      </c>
      <c r="J36" s="138"/>
      <c r="K36" s="138"/>
      <c r="L36" s="71">
        <f t="shared" si="0"/>
        <v>11</v>
      </c>
      <c r="M36" s="88">
        <f t="shared" si="1"/>
        <v>20</v>
      </c>
      <c r="N36" s="142">
        <v>2</v>
      </c>
      <c r="O36" s="138"/>
      <c r="P36" s="138">
        <v>6</v>
      </c>
      <c r="Q36" s="141">
        <v>8</v>
      </c>
      <c r="R36" s="140">
        <v>380</v>
      </c>
      <c r="S36" s="143">
        <v>531</v>
      </c>
      <c r="T36" s="147">
        <v>73</v>
      </c>
      <c r="U36" s="151">
        <v>44</v>
      </c>
      <c r="V36" s="148">
        <f t="shared" si="2"/>
        <v>282</v>
      </c>
      <c r="W36" s="152">
        <f t="shared" si="3"/>
        <v>442</v>
      </c>
      <c r="X36" s="140">
        <v>3</v>
      </c>
      <c r="Y36" s="138">
        <v>3</v>
      </c>
      <c r="Z36" s="138">
        <v>22</v>
      </c>
      <c r="AA36" s="143">
        <v>22</v>
      </c>
    </row>
    <row r="37" spans="2:27" ht="15" customHeight="1">
      <c r="B37" s="97" t="s">
        <v>68</v>
      </c>
      <c r="C37" s="20">
        <v>1</v>
      </c>
      <c r="D37" s="20" t="s">
        <v>47</v>
      </c>
      <c r="E37" s="107">
        <v>19</v>
      </c>
      <c r="F37" s="140">
        <v>60</v>
      </c>
      <c r="G37" s="141">
        <v>60</v>
      </c>
      <c r="H37" s="140">
        <v>12</v>
      </c>
      <c r="I37" s="138">
        <v>26</v>
      </c>
      <c r="J37" s="138">
        <v>2</v>
      </c>
      <c r="K37" s="138">
        <v>8</v>
      </c>
      <c r="L37" s="71">
        <f t="shared" si="0"/>
        <v>14</v>
      </c>
      <c r="M37" s="88">
        <f t="shared" si="1"/>
        <v>34</v>
      </c>
      <c r="N37" s="142">
        <v>19</v>
      </c>
      <c r="O37" s="138"/>
      <c r="P37" s="138">
        <v>39</v>
      </c>
      <c r="Q37" s="141">
        <v>60</v>
      </c>
      <c r="R37" s="140">
        <v>388</v>
      </c>
      <c r="S37" s="143">
        <v>552</v>
      </c>
      <c r="T37" s="147">
        <v>105</v>
      </c>
      <c r="U37" s="151">
        <v>24</v>
      </c>
      <c r="V37" s="148">
        <f t="shared" si="2"/>
        <v>333</v>
      </c>
      <c r="W37" s="152">
        <f t="shared" si="3"/>
        <v>517</v>
      </c>
      <c r="X37" s="140">
        <v>1</v>
      </c>
      <c r="Y37" s="138">
        <v>1</v>
      </c>
      <c r="Z37" s="138">
        <v>18</v>
      </c>
      <c r="AA37" s="143">
        <v>18</v>
      </c>
    </row>
    <row r="38" spans="2:27" ht="15" customHeight="1">
      <c r="B38" s="97" t="s">
        <v>69</v>
      </c>
      <c r="C38" s="20"/>
      <c r="D38" s="20"/>
      <c r="E38" s="33">
        <v>20</v>
      </c>
      <c r="F38" s="140">
        <v>31</v>
      </c>
      <c r="G38" s="141">
        <v>70</v>
      </c>
      <c r="H38" s="140">
        <v>9</v>
      </c>
      <c r="I38" s="138">
        <v>19</v>
      </c>
      <c r="J38" s="138">
        <v>2</v>
      </c>
      <c r="K38" s="138">
        <v>10</v>
      </c>
      <c r="L38" s="71">
        <f t="shared" si="0"/>
        <v>11</v>
      </c>
      <c r="M38" s="88">
        <f t="shared" si="1"/>
        <v>29</v>
      </c>
      <c r="N38" s="142">
        <v>2</v>
      </c>
      <c r="O38" s="138">
        <v>1</v>
      </c>
      <c r="P38" s="138">
        <v>12</v>
      </c>
      <c r="Q38" s="141">
        <v>15</v>
      </c>
      <c r="R38" s="140">
        <v>153</v>
      </c>
      <c r="S38" s="143">
        <v>265</v>
      </c>
      <c r="T38" s="147">
        <v>24</v>
      </c>
      <c r="U38" s="151">
        <v>13</v>
      </c>
      <c r="V38" s="148">
        <f t="shared" si="2"/>
        <v>142</v>
      </c>
      <c r="W38" s="152">
        <f t="shared" si="3"/>
        <v>272</v>
      </c>
      <c r="X38" s="140"/>
      <c r="Y38" s="138"/>
      <c r="Z38" s="138">
        <v>10</v>
      </c>
      <c r="AA38" s="143">
        <v>10</v>
      </c>
    </row>
    <row r="39" spans="2:27" ht="15" customHeight="1">
      <c r="B39" s="97" t="s">
        <v>70</v>
      </c>
      <c r="C39" s="20">
        <v>1</v>
      </c>
      <c r="D39" s="20" t="s">
        <v>52</v>
      </c>
      <c r="E39" s="33">
        <v>21</v>
      </c>
      <c r="F39" s="140">
        <v>18</v>
      </c>
      <c r="G39" s="141">
        <v>32</v>
      </c>
      <c r="H39" s="140">
        <v>2</v>
      </c>
      <c r="I39" s="138">
        <v>3</v>
      </c>
      <c r="J39" s="138"/>
      <c r="K39" s="138"/>
      <c r="L39" s="71">
        <f t="shared" si="0"/>
        <v>2</v>
      </c>
      <c r="M39" s="88">
        <f t="shared" si="1"/>
        <v>3</v>
      </c>
      <c r="N39" s="142"/>
      <c r="O39" s="138"/>
      <c r="P39" s="138">
        <v>2</v>
      </c>
      <c r="Q39" s="141">
        <v>5</v>
      </c>
      <c r="R39" s="140">
        <v>139</v>
      </c>
      <c r="S39" s="143">
        <v>213</v>
      </c>
      <c r="T39" s="147">
        <v>29</v>
      </c>
      <c r="U39" s="151">
        <v>7</v>
      </c>
      <c r="V39" s="148">
        <f t="shared" si="2"/>
        <v>110</v>
      </c>
      <c r="W39" s="152">
        <f t="shared" si="3"/>
        <v>185</v>
      </c>
      <c r="X39" s="140"/>
      <c r="Y39" s="138"/>
      <c r="Z39" s="138">
        <v>3</v>
      </c>
      <c r="AA39" s="143">
        <v>3</v>
      </c>
    </row>
    <row r="40" spans="2:27" ht="15" customHeight="1">
      <c r="B40" s="97" t="s">
        <v>71</v>
      </c>
      <c r="C40" s="20">
        <v>1</v>
      </c>
      <c r="D40" s="20" t="s">
        <v>47</v>
      </c>
      <c r="E40" s="107">
        <v>22</v>
      </c>
      <c r="F40" s="140">
        <v>49</v>
      </c>
      <c r="G40" s="141">
        <v>96</v>
      </c>
      <c r="H40" s="140">
        <v>13</v>
      </c>
      <c r="I40" s="138">
        <v>21</v>
      </c>
      <c r="J40" s="138"/>
      <c r="K40" s="138"/>
      <c r="L40" s="71">
        <f t="shared" si="0"/>
        <v>13</v>
      </c>
      <c r="M40" s="88">
        <f t="shared" si="1"/>
        <v>21</v>
      </c>
      <c r="N40" s="142">
        <v>1</v>
      </c>
      <c r="O40" s="138"/>
      <c r="P40" s="138">
        <v>13</v>
      </c>
      <c r="Q40" s="141">
        <v>14</v>
      </c>
      <c r="R40" s="140">
        <v>225</v>
      </c>
      <c r="S40" s="143">
        <v>390</v>
      </c>
      <c r="T40" s="147">
        <v>32</v>
      </c>
      <c r="U40" s="151">
        <v>21</v>
      </c>
      <c r="V40" s="148">
        <f t="shared" si="2"/>
        <v>199</v>
      </c>
      <c r="W40" s="152">
        <f t="shared" si="3"/>
        <v>372</v>
      </c>
      <c r="X40" s="140">
        <v>2</v>
      </c>
      <c r="Y40" s="138">
        <v>2</v>
      </c>
      <c r="Z40" s="138">
        <v>14</v>
      </c>
      <c r="AA40" s="143">
        <v>14</v>
      </c>
    </row>
    <row r="41" spans="2:27" ht="15" customHeight="1">
      <c r="B41" s="97" t="s">
        <v>72</v>
      </c>
      <c r="C41" s="20"/>
      <c r="D41" s="20"/>
      <c r="E41" s="33">
        <v>23</v>
      </c>
      <c r="F41" s="140">
        <v>42</v>
      </c>
      <c r="G41" s="141">
        <v>61</v>
      </c>
      <c r="H41" s="140">
        <v>8</v>
      </c>
      <c r="I41" s="138">
        <v>14</v>
      </c>
      <c r="J41" s="138"/>
      <c r="K41" s="138">
        <v>3</v>
      </c>
      <c r="L41" s="71">
        <f t="shared" si="0"/>
        <v>8</v>
      </c>
      <c r="M41" s="88">
        <f t="shared" si="1"/>
        <v>17</v>
      </c>
      <c r="N41" s="142">
        <v>1</v>
      </c>
      <c r="O41" s="138">
        <v>3</v>
      </c>
      <c r="P41" s="138">
        <v>9</v>
      </c>
      <c r="Q41" s="141">
        <v>13</v>
      </c>
      <c r="R41" s="140">
        <v>276</v>
      </c>
      <c r="S41" s="143">
        <v>407</v>
      </c>
      <c r="T41" s="147">
        <v>55</v>
      </c>
      <c r="U41" s="151">
        <v>17</v>
      </c>
      <c r="V41" s="148">
        <f t="shared" si="2"/>
        <v>225</v>
      </c>
      <c r="W41" s="152">
        <f t="shared" si="3"/>
        <v>365</v>
      </c>
      <c r="X41" s="140">
        <v>3</v>
      </c>
      <c r="Y41" s="138">
        <v>3</v>
      </c>
      <c r="Z41" s="138">
        <v>14</v>
      </c>
      <c r="AA41" s="143">
        <v>14</v>
      </c>
    </row>
    <row r="42" spans="2:27" ht="15" customHeight="1">
      <c r="B42" s="97" t="s">
        <v>73</v>
      </c>
      <c r="C42" s="20">
        <v>1</v>
      </c>
      <c r="D42" s="20" t="s">
        <v>47</v>
      </c>
      <c r="E42" s="33">
        <v>24</v>
      </c>
      <c r="F42" s="140">
        <v>24</v>
      </c>
      <c r="G42" s="141">
        <v>59</v>
      </c>
      <c r="H42" s="140">
        <v>10</v>
      </c>
      <c r="I42" s="138">
        <v>21</v>
      </c>
      <c r="J42" s="138"/>
      <c r="K42" s="138"/>
      <c r="L42" s="71">
        <f t="shared" si="0"/>
        <v>10</v>
      </c>
      <c r="M42" s="88">
        <f t="shared" si="1"/>
        <v>21</v>
      </c>
      <c r="N42" s="142"/>
      <c r="O42" s="138"/>
      <c r="P42" s="138">
        <v>1</v>
      </c>
      <c r="Q42" s="141">
        <v>2</v>
      </c>
      <c r="R42" s="140">
        <v>81</v>
      </c>
      <c r="S42" s="143">
        <v>160</v>
      </c>
      <c r="T42" s="147">
        <v>5</v>
      </c>
      <c r="U42" s="151">
        <v>8</v>
      </c>
      <c r="V42" s="148">
        <f t="shared" si="2"/>
        <v>80</v>
      </c>
      <c r="W42" s="152">
        <f t="shared" si="3"/>
        <v>170</v>
      </c>
      <c r="X42" s="140"/>
      <c r="Y42" s="138"/>
      <c r="Z42" s="138">
        <v>10</v>
      </c>
      <c r="AA42" s="143">
        <v>10</v>
      </c>
    </row>
    <row r="43" spans="2:27" ht="15" customHeight="1">
      <c r="B43" s="97" t="s">
        <v>74</v>
      </c>
      <c r="C43" s="20"/>
      <c r="D43" s="20"/>
      <c r="E43" s="107">
        <v>25</v>
      </c>
      <c r="F43" s="140">
        <v>80</v>
      </c>
      <c r="G43" s="141">
        <v>124</v>
      </c>
      <c r="H43" s="140">
        <v>8</v>
      </c>
      <c r="I43" s="138">
        <v>16</v>
      </c>
      <c r="J43" s="138"/>
      <c r="K43" s="138">
        <v>6</v>
      </c>
      <c r="L43" s="71">
        <f t="shared" si="0"/>
        <v>8</v>
      </c>
      <c r="M43" s="88">
        <f t="shared" si="1"/>
        <v>22</v>
      </c>
      <c r="N43" s="142">
        <v>52</v>
      </c>
      <c r="O43" s="138">
        <v>1</v>
      </c>
      <c r="P43" s="138">
        <v>44</v>
      </c>
      <c r="Q43" s="141">
        <v>98</v>
      </c>
      <c r="R43" s="140">
        <v>790</v>
      </c>
      <c r="S43" s="143">
        <v>1042</v>
      </c>
      <c r="T43" s="147">
        <v>199</v>
      </c>
      <c r="U43" s="151">
        <v>86</v>
      </c>
      <c r="V43" s="148">
        <f t="shared" si="2"/>
        <v>611</v>
      </c>
      <c r="W43" s="152">
        <f t="shared" si="3"/>
        <v>877</v>
      </c>
      <c r="X43" s="140">
        <v>4</v>
      </c>
      <c r="Y43" s="138">
        <v>4</v>
      </c>
      <c r="Z43" s="138">
        <v>23</v>
      </c>
      <c r="AA43" s="143">
        <v>23</v>
      </c>
    </row>
    <row r="44" spans="2:27" ht="15" customHeight="1">
      <c r="B44" s="97" t="s">
        <v>76</v>
      </c>
      <c r="C44" s="20">
        <v>1</v>
      </c>
      <c r="D44" s="20" t="s">
        <v>75</v>
      </c>
      <c r="E44" s="33">
        <v>26</v>
      </c>
      <c r="F44" s="140">
        <v>18</v>
      </c>
      <c r="G44" s="141">
        <v>29</v>
      </c>
      <c r="H44" s="140">
        <v>4</v>
      </c>
      <c r="I44" s="138">
        <v>10</v>
      </c>
      <c r="J44" s="138"/>
      <c r="K44" s="138"/>
      <c r="L44" s="71">
        <f t="shared" si="0"/>
        <v>4</v>
      </c>
      <c r="M44" s="88">
        <f t="shared" si="1"/>
        <v>10</v>
      </c>
      <c r="N44" s="142">
        <v>9</v>
      </c>
      <c r="O44" s="138"/>
      <c r="P44" s="138">
        <v>32</v>
      </c>
      <c r="Q44" s="141">
        <v>41</v>
      </c>
      <c r="R44" s="140">
        <v>267</v>
      </c>
      <c r="S44" s="143">
        <v>338</v>
      </c>
      <c r="T44" s="147">
        <v>60</v>
      </c>
      <c r="U44" s="151">
        <v>41</v>
      </c>
      <c r="V44" s="148">
        <f t="shared" si="2"/>
        <v>211</v>
      </c>
      <c r="W44" s="152">
        <f t="shared" si="3"/>
        <v>288</v>
      </c>
      <c r="X44" s="140">
        <v>2</v>
      </c>
      <c r="Y44" s="138">
        <v>2</v>
      </c>
      <c r="Z44" s="138">
        <v>6</v>
      </c>
      <c r="AA44" s="143">
        <v>6</v>
      </c>
    </row>
    <row r="45" spans="2:27" ht="15" customHeight="1">
      <c r="B45" s="97" t="s">
        <v>77</v>
      </c>
      <c r="C45" s="20"/>
      <c r="D45" s="20"/>
      <c r="E45" s="33">
        <v>27</v>
      </c>
      <c r="F45" s="140">
        <v>123</v>
      </c>
      <c r="G45" s="141">
        <v>182</v>
      </c>
      <c r="H45" s="140">
        <v>24</v>
      </c>
      <c r="I45" s="138">
        <v>50</v>
      </c>
      <c r="J45" s="138">
        <v>1</v>
      </c>
      <c r="K45" s="138">
        <v>7</v>
      </c>
      <c r="L45" s="71">
        <f t="shared" si="0"/>
        <v>25</v>
      </c>
      <c r="M45" s="88">
        <f t="shared" si="1"/>
        <v>57</v>
      </c>
      <c r="N45" s="142">
        <v>6</v>
      </c>
      <c r="O45" s="138">
        <v>1</v>
      </c>
      <c r="P45" s="138">
        <v>48</v>
      </c>
      <c r="Q45" s="141">
        <v>56</v>
      </c>
      <c r="R45" s="140">
        <v>508</v>
      </c>
      <c r="S45" s="143">
        <v>832</v>
      </c>
      <c r="T45" s="147">
        <v>89</v>
      </c>
      <c r="U45" s="151">
        <v>47</v>
      </c>
      <c r="V45" s="148">
        <f t="shared" si="2"/>
        <v>453</v>
      </c>
      <c r="W45" s="152">
        <f t="shared" si="3"/>
        <v>809</v>
      </c>
      <c r="X45" s="140">
        <v>11</v>
      </c>
      <c r="Y45" s="138">
        <v>11</v>
      </c>
      <c r="Z45" s="138">
        <v>25</v>
      </c>
      <c r="AA45" s="143">
        <v>25</v>
      </c>
    </row>
    <row r="46" spans="2:27" ht="15" customHeight="1">
      <c r="B46" s="97" t="s">
        <v>78</v>
      </c>
      <c r="C46" s="20"/>
      <c r="D46" s="20"/>
      <c r="E46" s="107">
        <v>28</v>
      </c>
      <c r="F46" s="140">
        <v>139</v>
      </c>
      <c r="G46" s="141">
        <v>249</v>
      </c>
      <c r="H46" s="140">
        <v>22</v>
      </c>
      <c r="I46" s="138">
        <v>44</v>
      </c>
      <c r="J46" s="138">
        <v>1</v>
      </c>
      <c r="K46" s="138">
        <v>5</v>
      </c>
      <c r="L46" s="71">
        <f t="shared" si="0"/>
        <v>23</v>
      </c>
      <c r="M46" s="88">
        <f t="shared" si="1"/>
        <v>49</v>
      </c>
      <c r="N46" s="142">
        <v>7</v>
      </c>
      <c r="O46" s="138"/>
      <c r="P46" s="138">
        <v>29</v>
      </c>
      <c r="Q46" s="141">
        <v>36</v>
      </c>
      <c r="R46" s="140">
        <v>758</v>
      </c>
      <c r="S46" s="143">
        <v>1218</v>
      </c>
      <c r="T46" s="147">
        <v>136</v>
      </c>
      <c r="U46" s="151">
        <v>45</v>
      </c>
      <c r="V46" s="148">
        <f t="shared" si="2"/>
        <v>636</v>
      </c>
      <c r="W46" s="152">
        <f t="shared" si="3"/>
        <v>1122</v>
      </c>
      <c r="X46" s="140">
        <v>13</v>
      </c>
      <c r="Y46" s="138">
        <v>13</v>
      </c>
      <c r="Z46" s="138">
        <v>39</v>
      </c>
      <c r="AA46" s="143">
        <v>39</v>
      </c>
    </row>
    <row r="47" spans="2:27" ht="15" customHeight="1">
      <c r="B47" s="97" t="s">
        <v>79</v>
      </c>
      <c r="C47" s="20">
        <v>1</v>
      </c>
      <c r="D47" s="20" t="s">
        <v>52</v>
      </c>
      <c r="E47" s="33">
        <v>29</v>
      </c>
      <c r="F47" s="140">
        <v>3</v>
      </c>
      <c r="G47" s="141">
        <v>6</v>
      </c>
      <c r="H47" s="140">
        <v>1</v>
      </c>
      <c r="I47" s="138">
        <v>2</v>
      </c>
      <c r="J47" s="138"/>
      <c r="K47" s="138"/>
      <c r="L47" s="71">
        <f t="shared" si="0"/>
        <v>1</v>
      </c>
      <c r="M47" s="88">
        <f t="shared" si="1"/>
        <v>2</v>
      </c>
      <c r="N47" s="142"/>
      <c r="O47" s="138"/>
      <c r="P47" s="138">
        <v>3</v>
      </c>
      <c r="Q47" s="141">
        <v>3</v>
      </c>
      <c r="R47" s="140">
        <v>15</v>
      </c>
      <c r="S47" s="143">
        <v>27</v>
      </c>
      <c r="T47" s="147">
        <v>3</v>
      </c>
      <c r="U47" s="151">
        <v>1</v>
      </c>
      <c r="V47" s="148">
        <f t="shared" si="2"/>
        <v>15</v>
      </c>
      <c r="W47" s="152">
        <f t="shared" si="3"/>
        <v>28</v>
      </c>
      <c r="X47" s="140"/>
      <c r="Y47" s="138"/>
      <c r="Z47" s="138"/>
      <c r="AA47" s="143"/>
    </row>
    <row r="48" spans="2:27" ht="15" customHeight="1">
      <c r="B48" s="97" t="s">
        <v>80</v>
      </c>
      <c r="C48" s="20">
        <v>1</v>
      </c>
      <c r="D48" s="20" t="s">
        <v>47</v>
      </c>
      <c r="E48" s="33">
        <v>30</v>
      </c>
      <c r="F48" s="140">
        <v>28</v>
      </c>
      <c r="G48" s="141">
        <v>48</v>
      </c>
      <c r="H48" s="140">
        <v>5</v>
      </c>
      <c r="I48" s="138">
        <v>9</v>
      </c>
      <c r="J48" s="138"/>
      <c r="K48" s="138">
        <v>1</v>
      </c>
      <c r="L48" s="71">
        <f t="shared" si="0"/>
        <v>5</v>
      </c>
      <c r="M48" s="88">
        <f t="shared" si="1"/>
        <v>10</v>
      </c>
      <c r="N48" s="142">
        <v>5</v>
      </c>
      <c r="O48" s="138">
        <v>2</v>
      </c>
      <c r="P48" s="138">
        <v>15</v>
      </c>
      <c r="Q48" s="141">
        <v>22</v>
      </c>
      <c r="R48" s="140">
        <v>162</v>
      </c>
      <c r="S48" s="143">
        <v>261</v>
      </c>
      <c r="T48" s="147">
        <v>44</v>
      </c>
      <c r="U48" s="151">
        <v>4</v>
      </c>
      <c r="V48" s="148">
        <f t="shared" si="2"/>
        <v>141</v>
      </c>
      <c r="W48" s="152">
        <f t="shared" si="3"/>
        <v>245</v>
      </c>
      <c r="X48" s="140">
        <v>1</v>
      </c>
      <c r="Y48" s="138">
        <v>1</v>
      </c>
      <c r="Z48" s="138">
        <v>11</v>
      </c>
      <c r="AA48" s="143">
        <v>11</v>
      </c>
    </row>
    <row r="49" spans="2:27" ht="15" customHeight="1">
      <c r="B49" s="97" t="s">
        <v>81</v>
      </c>
      <c r="C49" s="20">
        <v>1</v>
      </c>
      <c r="D49" s="20" t="s">
        <v>52</v>
      </c>
      <c r="E49" s="107">
        <v>31</v>
      </c>
      <c r="F49" s="140">
        <v>7</v>
      </c>
      <c r="G49" s="141">
        <v>11</v>
      </c>
      <c r="H49" s="140"/>
      <c r="I49" s="138">
        <v>1</v>
      </c>
      <c r="J49" s="138"/>
      <c r="K49" s="138">
        <v>2</v>
      </c>
      <c r="L49" s="71">
        <f t="shared" si="0"/>
        <v>0</v>
      </c>
      <c r="M49" s="88">
        <f t="shared" si="1"/>
        <v>3</v>
      </c>
      <c r="N49" s="142"/>
      <c r="O49" s="138"/>
      <c r="P49" s="138">
        <v>2</v>
      </c>
      <c r="Q49" s="141">
        <v>2</v>
      </c>
      <c r="R49" s="140">
        <v>51</v>
      </c>
      <c r="S49" s="143">
        <v>97</v>
      </c>
      <c r="T49" s="147">
        <v>6</v>
      </c>
      <c r="U49" s="151">
        <v>2</v>
      </c>
      <c r="V49" s="148">
        <f t="shared" si="2"/>
        <v>45</v>
      </c>
      <c r="W49" s="152">
        <f t="shared" si="3"/>
        <v>94</v>
      </c>
      <c r="X49" s="140"/>
      <c r="Y49" s="138"/>
      <c r="Z49" s="138">
        <v>1</v>
      </c>
      <c r="AA49" s="143">
        <v>1</v>
      </c>
    </row>
    <row r="50" spans="2:27" ht="15" customHeight="1">
      <c r="B50" s="97" t="s">
        <v>82</v>
      </c>
      <c r="C50" s="20"/>
      <c r="D50" s="20"/>
      <c r="E50" s="33">
        <v>32</v>
      </c>
      <c r="F50" s="140">
        <v>89</v>
      </c>
      <c r="G50" s="141">
        <v>169</v>
      </c>
      <c r="H50" s="140">
        <v>18</v>
      </c>
      <c r="I50" s="138">
        <v>31</v>
      </c>
      <c r="J50" s="138">
        <v>1</v>
      </c>
      <c r="K50" s="138">
        <v>4</v>
      </c>
      <c r="L50" s="71">
        <f t="shared" si="0"/>
        <v>19</v>
      </c>
      <c r="M50" s="88">
        <f t="shared" si="1"/>
        <v>35</v>
      </c>
      <c r="N50" s="142">
        <v>2</v>
      </c>
      <c r="O50" s="138">
        <v>1</v>
      </c>
      <c r="P50" s="138">
        <v>22</v>
      </c>
      <c r="Q50" s="141">
        <v>25</v>
      </c>
      <c r="R50" s="140">
        <v>441</v>
      </c>
      <c r="S50" s="143">
        <v>788</v>
      </c>
      <c r="T50" s="147">
        <v>67</v>
      </c>
      <c r="U50" s="151">
        <v>45</v>
      </c>
      <c r="V50" s="148">
        <f t="shared" si="2"/>
        <v>373</v>
      </c>
      <c r="W50" s="152">
        <f t="shared" si="3"/>
        <v>736</v>
      </c>
      <c r="X50" s="140">
        <v>2</v>
      </c>
      <c r="Y50" s="138">
        <v>2</v>
      </c>
      <c r="Z50" s="138">
        <v>25</v>
      </c>
      <c r="AA50" s="143">
        <v>25</v>
      </c>
    </row>
    <row r="51" spans="2:27" ht="15" customHeight="1">
      <c r="B51" s="97" t="s">
        <v>83</v>
      </c>
      <c r="C51" s="20"/>
      <c r="D51" s="20"/>
      <c r="E51" s="33">
        <v>33</v>
      </c>
      <c r="F51" s="140">
        <v>94</v>
      </c>
      <c r="G51" s="141">
        <v>146</v>
      </c>
      <c r="H51" s="140">
        <v>21</v>
      </c>
      <c r="I51" s="138">
        <v>38</v>
      </c>
      <c r="J51" s="138"/>
      <c r="K51" s="138">
        <v>1</v>
      </c>
      <c r="L51" s="71">
        <f aca="true" t="shared" si="4" ref="L51:L82">SUM(H51,J51)</f>
        <v>21</v>
      </c>
      <c r="M51" s="88">
        <f aca="true" t="shared" si="5" ref="M51:M82">SUM(I51,K51)</f>
        <v>39</v>
      </c>
      <c r="N51" s="142">
        <v>1</v>
      </c>
      <c r="O51" s="138"/>
      <c r="P51" s="138">
        <v>14</v>
      </c>
      <c r="Q51" s="141">
        <v>26</v>
      </c>
      <c r="R51" s="140">
        <v>838</v>
      </c>
      <c r="S51" s="143">
        <v>1059</v>
      </c>
      <c r="T51" s="147">
        <v>172</v>
      </c>
      <c r="U51" s="151">
        <v>93</v>
      </c>
      <c r="V51" s="148">
        <f aca="true" t="shared" si="6" ref="V51:V82">SUM(L51+Q51+R51-T51-U51)</f>
        <v>620</v>
      </c>
      <c r="W51" s="152">
        <f aca="true" t="shared" si="7" ref="W51:W82">SUM(M51+Q51+S51-T51-U51)</f>
        <v>859</v>
      </c>
      <c r="X51" s="140">
        <v>8</v>
      </c>
      <c r="Y51" s="138">
        <v>8</v>
      </c>
      <c r="Z51" s="138">
        <v>40</v>
      </c>
      <c r="AA51" s="143">
        <v>40</v>
      </c>
    </row>
    <row r="52" spans="2:27" ht="15" customHeight="1">
      <c r="B52" s="97" t="s">
        <v>84</v>
      </c>
      <c r="C52" s="20" t="s">
        <v>63</v>
      </c>
      <c r="D52" s="20"/>
      <c r="E52" s="107">
        <v>34</v>
      </c>
      <c r="F52" s="140">
        <v>1330</v>
      </c>
      <c r="G52" s="141">
        <v>2255</v>
      </c>
      <c r="H52" s="140">
        <v>213</v>
      </c>
      <c r="I52" s="138">
        <v>412</v>
      </c>
      <c r="J52" s="138">
        <v>14</v>
      </c>
      <c r="K52" s="138">
        <v>44</v>
      </c>
      <c r="L52" s="71">
        <f t="shared" si="4"/>
        <v>227</v>
      </c>
      <c r="M52" s="88">
        <f t="shared" si="5"/>
        <v>456</v>
      </c>
      <c r="N52" s="142">
        <v>92</v>
      </c>
      <c r="O52" s="138"/>
      <c r="P52" s="138">
        <v>166</v>
      </c>
      <c r="Q52" s="141">
        <v>259</v>
      </c>
      <c r="R52" s="140">
        <v>5950</v>
      </c>
      <c r="S52" s="143">
        <v>8513</v>
      </c>
      <c r="T52" s="147">
        <v>1058</v>
      </c>
      <c r="U52" s="151">
        <v>348</v>
      </c>
      <c r="V52" s="148">
        <f t="shared" si="6"/>
        <v>5030</v>
      </c>
      <c r="W52" s="152">
        <f t="shared" si="7"/>
        <v>7822</v>
      </c>
      <c r="X52" s="140">
        <v>62</v>
      </c>
      <c r="Y52" s="138">
        <v>62</v>
      </c>
      <c r="Z52" s="138">
        <v>458</v>
      </c>
      <c r="AA52" s="143">
        <v>458</v>
      </c>
    </row>
    <row r="53" spans="2:27" ht="15" customHeight="1">
      <c r="B53" s="97" t="s">
        <v>85</v>
      </c>
      <c r="C53" s="20"/>
      <c r="D53" s="20"/>
      <c r="E53" s="33">
        <v>35</v>
      </c>
      <c r="F53" s="140">
        <v>16</v>
      </c>
      <c r="G53" s="141">
        <v>20</v>
      </c>
      <c r="H53" s="140">
        <v>2</v>
      </c>
      <c r="I53" s="138">
        <v>4</v>
      </c>
      <c r="J53" s="138"/>
      <c r="K53" s="138"/>
      <c r="L53" s="71">
        <f t="shared" si="4"/>
        <v>2</v>
      </c>
      <c r="M53" s="88">
        <f t="shared" si="5"/>
        <v>4</v>
      </c>
      <c r="N53" s="142">
        <v>1</v>
      </c>
      <c r="O53" s="138"/>
      <c r="P53" s="138">
        <v>7</v>
      </c>
      <c r="Q53" s="141">
        <v>9</v>
      </c>
      <c r="R53" s="140">
        <v>272</v>
      </c>
      <c r="S53" s="143">
        <v>354</v>
      </c>
      <c r="T53" s="147">
        <v>71</v>
      </c>
      <c r="U53" s="151">
        <v>19</v>
      </c>
      <c r="V53" s="148">
        <f t="shared" si="6"/>
        <v>193</v>
      </c>
      <c r="W53" s="152">
        <f t="shared" si="7"/>
        <v>277</v>
      </c>
      <c r="X53" s="140"/>
      <c r="Y53" s="138"/>
      <c r="Z53" s="138">
        <v>11</v>
      </c>
      <c r="AA53" s="143">
        <v>11</v>
      </c>
    </row>
    <row r="54" spans="2:27" ht="15" customHeight="1">
      <c r="B54" s="97" t="s">
        <v>86</v>
      </c>
      <c r="C54" s="20">
        <v>1</v>
      </c>
      <c r="D54" s="20" t="s">
        <v>75</v>
      </c>
      <c r="E54" s="33">
        <v>36</v>
      </c>
      <c r="F54" s="140">
        <v>31</v>
      </c>
      <c r="G54" s="141">
        <v>69</v>
      </c>
      <c r="H54" s="140">
        <v>4</v>
      </c>
      <c r="I54" s="138">
        <v>13</v>
      </c>
      <c r="J54" s="138"/>
      <c r="K54" s="138">
        <v>4</v>
      </c>
      <c r="L54" s="71">
        <f t="shared" si="4"/>
        <v>4</v>
      </c>
      <c r="M54" s="88">
        <f t="shared" si="5"/>
        <v>17</v>
      </c>
      <c r="N54" s="142">
        <v>4</v>
      </c>
      <c r="O54" s="138"/>
      <c r="P54" s="138">
        <v>38</v>
      </c>
      <c r="Q54" s="141">
        <v>43</v>
      </c>
      <c r="R54" s="140">
        <v>263</v>
      </c>
      <c r="S54" s="143">
        <v>404</v>
      </c>
      <c r="T54" s="147">
        <v>39</v>
      </c>
      <c r="U54" s="151">
        <v>13</v>
      </c>
      <c r="V54" s="148">
        <f t="shared" si="6"/>
        <v>258</v>
      </c>
      <c r="W54" s="152">
        <f t="shared" si="7"/>
        <v>412</v>
      </c>
      <c r="X54" s="140">
        <v>4</v>
      </c>
      <c r="Y54" s="138">
        <v>4</v>
      </c>
      <c r="Z54" s="138">
        <v>8</v>
      </c>
      <c r="AA54" s="143">
        <v>8</v>
      </c>
    </row>
    <row r="55" spans="2:27" ht="15" customHeight="1">
      <c r="B55" s="97" t="s">
        <v>87</v>
      </c>
      <c r="C55" s="20"/>
      <c r="D55" s="20"/>
      <c r="E55" s="107">
        <v>37</v>
      </c>
      <c r="F55" s="140">
        <v>372</v>
      </c>
      <c r="G55" s="141">
        <v>716</v>
      </c>
      <c r="H55" s="140">
        <v>80</v>
      </c>
      <c r="I55" s="138">
        <v>171</v>
      </c>
      <c r="J55" s="138">
        <v>5</v>
      </c>
      <c r="K55" s="138">
        <v>18</v>
      </c>
      <c r="L55" s="71">
        <f t="shared" si="4"/>
        <v>85</v>
      </c>
      <c r="M55" s="88">
        <f t="shared" si="5"/>
        <v>189</v>
      </c>
      <c r="N55" s="142">
        <v>12</v>
      </c>
      <c r="O55" s="138"/>
      <c r="P55" s="138">
        <v>24</v>
      </c>
      <c r="Q55" s="141">
        <v>37</v>
      </c>
      <c r="R55" s="140">
        <v>1183</v>
      </c>
      <c r="S55" s="143">
        <v>1801</v>
      </c>
      <c r="T55" s="147">
        <v>234</v>
      </c>
      <c r="U55" s="151">
        <v>88</v>
      </c>
      <c r="V55" s="148">
        <f t="shared" si="6"/>
        <v>983</v>
      </c>
      <c r="W55" s="152">
        <f t="shared" si="7"/>
        <v>1705</v>
      </c>
      <c r="X55" s="140">
        <v>20</v>
      </c>
      <c r="Y55" s="138">
        <v>20</v>
      </c>
      <c r="Z55" s="138">
        <v>104</v>
      </c>
      <c r="AA55" s="143">
        <v>105</v>
      </c>
    </row>
    <row r="56" spans="2:27" ht="15" customHeight="1">
      <c r="B56" s="97" t="s">
        <v>88</v>
      </c>
      <c r="C56" s="20">
        <v>1</v>
      </c>
      <c r="D56" s="20" t="s">
        <v>75</v>
      </c>
      <c r="E56" s="33">
        <v>38</v>
      </c>
      <c r="F56" s="140">
        <v>19</v>
      </c>
      <c r="G56" s="141">
        <v>36</v>
      </c>
      <c r="H56" s="140">
        <v>4</v>
      </c>
      <c r="I56" s="138">
        <v>9</v>
      </c>
      <c r="J56" s="138"/>
      <c r="K56" s="138">
        <v>1</v>
      </c>
      <c r="L56" s="71">
        <f t="shared" si="4"/>
        <v>4</v>
      </c>
      <c r="M56" s="88">
        <f t="shared" si="5"/>
        <v>10</v>
      </c>
      <c r="N56" s="142">
        <v>1</v>
      </c>
      <c r="O56" s="138"/>
      <c r="P56" s="138">
        <v>10</v>
      </c>
      <c r="Q56" s="141">
        <v>11</v>
      </c>
      <c r="R56" s="140">
        <v>234</v>
      </c>
      <c r="S56" s="143">
        <v>323</v>
      </c>
      <c r="T56" s="147">
        <v>36</v>
      </c>
      <c r="U56" s="151">
        <v>22</v>
      </c>
      <c r="V56" s="148">
        <f t="shared" si="6"/>
        <v>191</v>
      </c>
      <c r="W56" s="152">
        <f t="shared" si="7"/>
        <v>286</v>
      </c>
      <c r="X56" s="140"/>
      <c r="Y56" s="138"/>
      <c r="Z56" s="138">
        <v>12</v>
      </c>
      <c r="AA56" s="143">
        <v>12</v>
      </c>
    </row>
    <row r="57" spans="2:27" ht="15" customHeight="1">
      <c r="B57" s="97" t="s">
        <v>89</v>
      </c>
      <c r="C57" s="20"/>
      <c r="D57" s="20"/>
      <c r="E57" s="107">
        <v>40</v>
      </c>
      <c r="F57" s="140">
        <v>27</v>
      </c>
      <c r="G57" s="141">
        <v>49</v>
      </c>
      <c r="H57" s="140">
        <v>6</v>
      </c>
      <c r="I57" s="138">
        <v>14</v>
      </c>
      <c r="J57" s="138"/>
      <c r="K57" s="138">
        <v>1</v>
      </c>
      <c r="L57" s="71">
        <f t="shared" si="4"/>
        <v>6</v>
      </c>
      <c r="M57" s="88">
        <f t="shared" si="5"/>
        <v>15</v>
      </c>
      <c r="N57" s="142">
        <v>2</v>
      </c>
      <c r="O57" s="138"/>
      <c r="P57" s="138">
        <v>3</v>
      </c>
      <c r="Q57" s="141">
        <v>5</v>
      </c>
      <c r="R57" s="140">
        <v>119</v>
      </c>
      <c r="S57" s="143">
        <v>214</v>
      </c>
      <c r="T57" s="147">
        <v>21</v>
      </c>
      <c r="U57" s="151">
        <v>11</v>
      </c>
      <c r="V57" s="148">
        <f t="shared" si="6"/>
        <v>98</v>
      </c>
      <c r="W57" s="152">
        <f t="shared" si="7"/>
        <v>202</v>
      </c>
      <c r="X57" s="140">
        <v>3</v>
      </c>
      <c r="Y57" s="138">
        <v>3</v>
      </c>
      <c r="Z57" s="138">
        <v>7</v>
      </c>
      <c r="AA57" s="143">
        <v>7</v>
      </c>
    </row>
    <row r="58" spans="2:27" ht="15" customHeight="1">
      <c r="B58" s="97" t="s">
        <v>90</v>
      </c>
      <c r="C58" s="20"/>
      <c r="D58" s="20"/>
      <c r="E58" s="33">
        <v>41</v>
      </c>
      <c r="F58" s="140">
        <v>42</v>
      </c>
      <c r="G58" s="141">
        <v>77</v>
      </c>
      <c r="H58" s="140">
        <v>12</v>
      </c>
      <c r="I58" s="138">
        <v>22</v>
      </c>
      <c r="J58" s="138">
        <v>1</v>
      </c>
      <c r="K58" s="138">
        <v>6</v>
      </c>
      <c r="L58" s="71">
        <f t="shared" si="4"/>
        <v>13</v>
      </c>
      <c r="M58" s="88">
        <f t="shared" si="5"/>
        <v>28</v>
      </c>
      <c r="N58" s="142">
        <v>3</v>
      </c>
      <c r="O58" s="138">
        <v>1</v>
      </c>
      <c r="P58" s="138">
        <v>13</v>
      </c>
      <c r="Q58" s="141">
        <v>18</v>
      </c>
      <c r="R58" s="140">
        <v>291</v>
      </c>
      <c r="S58" s="143">
        <v>506</v>
      </c>
      <c r="T58" s="147">
        <v>50</v>
      </c>
      <c r="U58" s="151">
        <v>31</v>
      </c>
      <c r="V58" s="148">
        <f t="shared" si="6"/>
        <v>241</v>
      </c>
      <c r="W58" s="152">
        <f t="shared" si="7"/>
        <v>471</v>
      </c>
      <c r="X58" s="140">
        <v>2</v>
      </c>
      <c r="Y58" s="138">
        <v>2</v>
      </c>
      <c r="Z58" s="138">
        <v>21</v>
      </c>
      <c r="AA58" s="143">
        <v>21</v>
      </c>
    </row>
    <row r="59" spans="2:27" ht="15" customHeight="1">
      <c r="B59" s="97" t="s">
        <v>91</v>
      </c>
      <c r="C59" s="20"/>
      <c r="D59" s="20"/>
      <c r="E59" s="33">
        <v>42</v>
      </c>
      <c r="F59" s="140">
        <v>82</v>
      </c>
      <c r="G59" s="141">
        <v>133</v>
      </c>
      <c r="H59" s="140">
        <v>21</v>
      </c>
      <c r="I59" s="138">
        <v>40</v>
      </c>
      <c r="J59" s="138">
        <v>2</v>
      </c>
      <c r="K59" s="138">
        <v>6</v>
      </c>
      <c r="L59" s="71">
        <f t="shared" si="4"/>
        <v>23</v>
      </c>
      <c r="M59" s="88">
        <f t="shared" si="5"/>
        <v>46</v>
      </c>
      <c r="N59" s="142">
        <v>13</v>
      </c>
      <c r="O59" s="138">
        <v>1</v>
      </c>
      <c r="P59" s="138">
        <v>41</v>
      </c>
      <c r="Q59" s="141">
        <v>56</v>
      </c>
      <c r="R59" s="140">
        <v>442</v>
      </c>
      <c r="S59" s="143">
        <v>702</v>
      </c>
      <c r="T59" s="147">
        <v>88</v>
      </c>
      <c r="U59" s="151">
        <v>45</v>
      </c>
      <c r="V59" s="148">
        <f t="shared" si="6"/>
        <v>388</v>
      </c>
      <c r="W59" s="152">
        <f t="shared" si="7"/>
        <v>671</v>
      </c>
      <c r="X59" s="140">
        <v>6</v>
      </c>
      <c r="Y59" s="138">
        <v>6</v>
      </c>
      <c r="Z59" s="138">
        <v>31</v>
      </c>
      <c r="AA59" s="143">
        <v>31</v>
      </c>
    </row>
    <row r="60" spans="2:27" ht="15" customHeight="1">
      <c r="B60" s="97" t="s">
        <v>92</v>
      </c>
      <c r="C60" s="20"/>
      <c r="D60" s="20"/>
      <c r="E60" s="107">
        <v>43</v>
      </c>
      <c r="F60" s="140">
        <v>1989</v>
      </c>
      <c r="G60" s="141">
        <v>3787</v>
      </c>
      <c r="H60" s="140">
        <v>506</v>
      </c>
      <c r="I60" s="138">
        <v>1065</v>
      </c>
      <c r="J60" s="138">
        <v>21</v>
      </c>
      <c r="K60" s="138">
        <v>76</v>
      </c>
      <c r="L60" s="71">
        <f t="shared" si="4"/>
        <v>527</v>
      </c>
      <c r="M60" s="88">
        <f t="shared" si="5"/>
        <v>1141</v>
      </c>
      <c r="N60" s="142">
        <v>86</v>
      </c>
      <c r="O60" s="138">
        <v>3</v>
      </c>
      <c r="P60" s="138">
        <v>222</v>
      </c>
      <c r="Q60" s="141">
        <v>313</v>
      </c>
      <c r="R60" s="140">
        <v>5485</v>
      </c>
      <c r="S60" s="143">
        <v>8650</v>
      </c>
      <c r="T60" s="147">
        <v>1047</v>
      </c>
      <c r="U60" s="151">
        <v>245</v>
      </c>
      <c r="V60" s="148">
        <f t="shared" si="6"/>
        <v>5033</v>
      </c>
      <c r="W60" s="152">
        <f t="shared" si="7"/>
        <v>8812</v>
      </c>
      <c r="X60" s="140">
        <v>86</v>
      </c>
      <c r="Y60" s="138">
        <v>86</v>
      </c>
      <c r="Z60" s="138">
        <v>495</v>
      </c>
      <c r="AA60" s="143">
        <v>495</v>
      </c>
    </row>
    <row r="61" spans="2:27" ht="15" customHeight="1">
      <c r="B61" s="97" t="s">
        <v>93</v>
      </c>
      <c r="C61" s="20"/>
      <c r="D61" s="20"/>
      <c r="E61" s="33">
        <v>44</v>
      </c>
      <c r="F61" s="140">
        <v>618</v>
      </c>
      <c r="G61" s="141">
        <v>1045</v>
      </c>
      <c r="H61" s="140">
        <v>136</v>
      </c>
      <c r="I61" s="138">
        <v>269</v>
      </c>
      <c r="J61" s="138">
        <v>7</v>
      </c>
      <c r="K61" s="138">
        <v>25</v>
      </c>
      <c r="L61" s="71">
        <f t="shared" si="4"/>
        <v>143</v>
      </c>
      <c r="M61" s="88">
        <f t="shared" si="5"/>
        <v>294</v>
      </c>
      <c r="N61" s="142">
        <v>54</v>
      </c>
      <c r="O61" s="138"/>
      <c r="P61" s="138">
        <v>111</v>
      </c>
      <c r="Q61" s="141">
        <v>166</v>
      </c>
      <c r="R61" s="140">
        <v>2047</v>
      </c>
      <c r="S61" s="143">
        <v>3097</v>
      </c>
      <c r="T61" s="147">
        <v>411</v>
      </c>
      <c r="U61" s="151">
        <v>231</v>
      </c>
      <c r="V61" s="148">
        <f t="shared" si="6"/>
        <v>1714</v>
      </c>
      <c r="W61" s="152">
        <f t="shared" si="7"/>
        <v>2915</v>
      </c>
      <c r="X61" s="140">
        <v>27</v>
      </c>
      <c r="Y61" s="138">
        <v>27</v>
      </c>
      <c r="Z61" s="138">
        <v>217</v>
      </c>
      <c r="AA61" s="143">
        <v>217</v>
      </c>
    </row>
    <row r="62" spans="2:27" ht="15" customHeight="1">
      <c r="B62" s="97" t="s">
        <v>94</v>
      </c>
      <c r="C62" s="20"/>
      <c r="D62" s="20"/>
      <c r="E62" s="33">
        <v>45</v>
      </c>
      <c r="F62" s="140">
        <v>109</v>
      </c>
      <c r="G62" s="141">
        <v>187</v>
      </c>
      <c r="H62" s="140">
        <v>20</v>
      </c>
      <c r="I62" s="138">
        <v>41</v>
      </c>
      <c r="J62" s="138">
        <v>1</v>
      </c>
      <c r="K62" s="138">
        <v>3</v>
      </c>
      <c r="L62" s="71">
        <f t="shared" si="4"/>
        <v>21</v>
      </c>
      <c r="M62" s="88">
        <f t="shared" si="5"/>
        <v>44</v>
      </c>
      <c r="N62" s="142">
        <v>10</v>
      </c>
      <c r="O62" s="138"/>
      <c r="P62" s="138">
        <v>33</v>
      </c>
      <c r="Q62" s="141">
        <v>45</v>
      </c>
      <c r="R62" s="140">
        <v>644</v>
      </c>
      <c r="S62" s="143">
        <v>995</v>
      </c>
      <c r="T62" s="147">
        <v>128</v>
      </c>
      <c r="U62" s="151">
        <v>52</v>
      </c>
      <c r="V62" s="148">
        <f t="shared" si="6"/>
        <v>530</v>
      </c>
      <c r="W62" s="152">
        <f t="shared" si="7"/>
        <v>904</v>
      </c>
      <c r="X62" s="140">
        <v>11</v>
      </c>
      <c r="Y62" s="138">
        <v>11</v>
      </c>
      <c r="Z62" s="138">
        <v>29</v>
      </c>
      <c r="AA62" s="143">
        <v>29</v>
      </c>
    </row>
    <row r="63" spans="2:27" ht="15" customHeight="1">
      <c r="B63" s="97" t="s">
        <v>95</v>
      </c>
      <c r="C63" s="20"/>
      <c r="D63" s="20"/>
      <c r="E63" s="33">
        <v>47</v>
      </c>
      <c r="F63" s="140">
        <v>153</v>
      </c>
      <c r="G63" s="141">
        <v>289</v>
      </c>
      <c r="H63" s="140">
        <v>36</v>
      </c>
      <c r="I63" s="138">
        <v>72</v>
      </c>
      <c r="J63" s="138"/>
      <c r="K63" s="138">
        <v>2</v>
      </c>
      <c r="L63" s="71">
        <f t="shared" si="4"/>
        <v>36</v>
      </c>
      <c r="M63" s="88">
        <f t="shared" si="5"/>
        <v>74</v>
      </c>
      <c r="N63" s="142">
        <v>8</v>
      </c>
      <c r="O63" s="138">
        <v>1</v>
      </c>
      <c r="P63" s="138">
        <v>28</v>
      </c>
      <c r="Q63" s="141">
        <v>37</v>
      </c>
      <c r="R63" s="140">
        <v>810</v>
      </c>
      <c r="S63" s="143">
        <v>1197</v>
      </c>
      <c r="T63" s="147">
        <v>165</v>
      </c>
      <c r="U63" s="151">
        <v>53</v>
      </c>
      <c r="V63" s="148">
        <f t="shared" si="6"/>
        <v>665</v>
      </c>
      <c r="W63" s="152">
        <f t="shared" si="7"/>
        <v>1090</v>
      </c>
      <c r="X63" s="140">
        <v>5</v>
      </c>
      <c r="Y63" s="138">
        <v>5</v>
      </c>
      <c r="Z63" s="138">
        <v>35</v>
      </c>
      <c r="AA63" s="143">
        <v>35</v>
      </c>
    </row>
    <row r="64" spans="2:27" ht="15" customHeight="1">
      <c r="B64" s="97" t="s">
        <v>96</v>
      </c>
      <c r="C64" s="20">
        <v>1</v>
      </c>
      <c r="D64" s="20" t="s">
        <v>52</v>
      </c>
      <c r="E64" s="33">
        <v>39</v>
      </c>
      <c r="F64" s="140">
        <v>10</v>
      </c>
      <c r="G64" s="141">
        <v>20</v>
      </c>
      <c r="H64" s="140">
        <v>1</v>
      </c>
      <c r="I64" s="138">
        <v>1</v>
      </c>
      <c r="J64" s="138"/>
      <c r="K64" s="138">
        <v>2</v>
      </c>
      <c r="L64" s="71">
        <f t="shared" si="4"/>
        <v>1</v>
      </c>
      <c r="M64" s="88">
        <f t="shared" si="5"/>
        <v>3</v>
      </c>
      <c r="N64" s="142"/>
      <c r="O64" s="138"/>
      <c r="P64" s="138">
        <v>1</v>
      </c>
      <c r="Q64" s="141">
        <v>1</v>
      </c>
      <c r="R64" s="140">
        <v>35</v>
      </c>
      <c r="S64" s="143">
        <v>65</v>
      </c>
      <c r="T64" s="147">
        <v>5</v>
      </c>
      <c r="U64" s="151">
        <v>2</v>
      </c>
      <c r="V64" s="148">
        <f t="shared" si="6"/>
        <v>30</v>
      </c>
      <c r="W64" s="152">
        <f t="shared" si="7"/>
        <v>62</v>
      </c>
      <c r="X64" s="140"/>
      <c r="Y64" s="138"/>
      <c r="Z64" s="138">
        <v>4</v>
      </c>
      <c r="AA64" s="143">
        <v>4</v>
      </c>
    </row>
    <row r="65" spans="2:27" ht="15" customHeight="1">
      <c r="B65" s="97" t="s">
        <v>105</v>
      </c>
      <c r="C65" s="20">
        <v>1</v>
      </c>
      <c r="D65" s="20" t="s">
        <v>47</v>
      </c>
      <c r="E65" s="107">
        <v>46</v>
      </c>
      <c r="F65" s="140">
        <v>10</v>
      </c>
      <c r="G65" s="141">
        <v>16</v>
      </c>
      <c r="H65" s="140">
        <v>1</v>
      </c>
      <c r="I65" s="138">
        <v>1</v>
      </c>
      <c r="J65" s="138"/>
      <c r="K65" s="138">
        <v>1</v>
      </c>
      <c r="L65" s="71">
        <f t="shared" si="4"/>
        <v>1</v>
      </c>
      <c r="M65" s="88">
        <f t="shared" si="5"/>
        <v>2</v>
      </c>
      <c r="N65" s="142">
        <v>2</v>
      </c>
      <c r="O65" s="138"/>
      <c r="P65" s="138">
        <v>5</v>
      </c>
      <c r="Q65" s="141">
        <v>7</v>
      </c>
      <c r="R65" s="140">
        <v>85</v>
      </c>
      <c r="S65" s="143">
        <v>128</v>
      </c>
      <c r="T65" s="147">
        <v>17</v>
      </c>
      <c r="U65" s="151">
        <v>14</v>
      </c>
      <c r="V65" s="148">
        <f t="shared" si="6"/>
        <v>62</v>
      </c>
      <c r="W65" s="152">
        <f t="shared" si="7"/>
        <v>106</v>
      </c>
      <c r="X65" s="140"/>
      <c r="Y65" s="138"/>
      <c r="Z65" s="138">
        <v>8</v>
      </c>
      <c r="AA65" s="143">
        <v>8</v>
      </c>
    </row>
    <row r="66" spans="2:27" ht="15" customHeight="1">
      <c r="B66" s="97" t="s">
        <v>106</v>
      </c>
      <c r="C66" s="20"/>
      <c r="D66" s="20"/>
      <c r="E66" s="33">
        <v>48</v>
      </c>
      <c r="F66" s="140">
        <v>57</v>
      </c>
      <c r="G66" s="141">
        <v>96</v>
      </c>
      <c r="H66" s="140">
        <v>14</v>
      </c>
      <c r="I66" s="138">
        <v>29</v>
      </c>
      <c r="J66" s="138">
        <v>1</v>
      </c>
      <c r="K66" s="138">
        <v>4</v>
      </c>
      <c r="L66" s="71">
        <f t="shared" si="4"/>
        <v>15</v>
      </c>
      <c r="M66" s="88">
        <f t="shared" si="5"/>
        <v>33</v>
      </c>
      <c r="N66" s="142"/>
      <c r="O66" s="138"/>
      <c r="P66" s="138">
        <v>17</v>
      </c>
      <c r="Q66" s="141">
        <v>17</v>
      </c>
      <c r="R66" s="140">
        <v>314</v>
      </c>
      <c r="S66" s="143">
        <v>522</v>
      </c>
      <c r="T66" s="147">
        <v>45</v>
      </c>
      <c r="U66" s="151">
        <v>32</v>
      </c>
      <c r="V66" s="148">
        <f t="shared" si="6"/>
        <v>269</v>
      </c>
      <c r="W66" s="152">
        <f t="shared" si="7"/>
        <v>495</v>
      </c>
      <c r="X66" s="140">
        <v>4</v>
      </c>
      <c r="Y66" s="138">
        <v>4</v>
      </c>
      <c r="Z66" s="138">
        <v>25</v>
      </c>
      <c r="AA66" s="143">
        <v>25</v>
      </c>
    </row>
    <row r="67" spans="2:27" ht="15" customHeight="1">
      <c r="B67" s="97" t="s">
        <v>107</v>
      </c>
      <c r="C67" s="20"/>
      <c r="D67" s="20"/>
      <c r="E67" s="107">
        <v>49</v>
      </c>
      <c r="F67" s="140">
        <v>526</v>
      </c>
      <c r="G67" s="141">
        <v>1052</v>
      </c>
      <c r="H67" s="140">
        <v>151</v>
      </c>
      <c r="I67" s="138">
        <v>335</v>
      </c>
      <c r="J67" s="138">
        <v>9</v>
      </c>
      <c r="K67" s="138">
        <v>40</v>
      </c>
      <c r="L67" s="71">
        <f t="shared" si="4"/>
        <v>160</v>
      </c>
      <c r="M67" s="88">
        <f t="shared" si="5"/>
        <v>375</v>
      </c>
      <c r="N67" s="142">
        <v>67</v>
      </c>
      <c r="O67" s="138"/>
      <c r="P67" s="138">
        <v>92</v>
      </c>
      <c r="Q67" s="141">
        <v>159</v>
      </c>
      <c r="R67" s="140">
        <v>2263</v>
      </c>
      <c r="S67" s="143">
        <v>3640</v>
      </c>
      <c r="T67" s="147">
        <v>445</v>
      </c>
      <c r="U67" s="151">
        <v>187</v>
      </c>
      <c r="V67" s="148">
        <f t="shared" si="6"/>
        <v>1950</v>
      </c>
      <c r="W67" s="152">
        <f t="shared" si="7"/>
        <v>3542</v>
      </c>
      <c r="X67" s="140">
        <v>14</v>
      </c>
      <c r="Y67" s="138">
        <v>14</v>
      </c>
      <c r="Z67" s="138">
        <v>120</v>
      </c>
      <c r="AA67" s="143">
        <v>120</v>
      </c>
    </row>
    <row r="68" spans="2:27" ht="15" customHeight="1">
      <c r="B68" s="97" t="s">
        <v>108</v>
      </c>
      <c r="C68" s="20">
        <v>1</v>
      </c>
      <c r="D68" s="20" t="s">
        <v>75</v>
      </c>
      <c r="E68" s="33">
        <v>50</v>
      </c>
      <c r="F68" s="140">
        <v>33</v>
      </c>
      <c r="G68" s="141">
        <v>58</v>
      </c>
      <c r="H68" s="140">
        <v>2</v>
      </c>
      <c r="I68" s="138">
        <v>7</v>
      </c>
      <c r="J68" s="138"/>
      <c r="K68" s="138"/>
      <c r="L68" s="71">
        <f t="shared" si="4"/>
        <v>2</v>
      </c>
      <c r="M68" s="88">
        <f t="shared" si="5"/>
        <v>7</v>
      </c>
      <c r="N68" s="142">
        <v>18</v>
      </c>
      <c r="O68" s="138"/>
      <c r="P68" s="138">
        <v>54</v>
      </c>
      <c r="Q68" s="141">
        <v>73</v>
      </c>
      <c r="R68" s="140">
        <v>205</v>
      </c>
      <c r="S68" s="143">
        <v>319</v>
      </c>
      <c r="T68" s="147">
        <v>68</v>
      </c>
      <c r="U68" s="151">
        <v>30</v>
      </c>
      <c r="V68" s="148">
        <f t="shared" si="6"/>
        <v>182</v>
      </c>
      <c r="W68" s="152">
        <f t="shared" si="7"/>
        <v>301</v>
      </c>
      <c r="X68" s="140">
        <v>1</v>
      </c>
      <c r="Y68" s="138">
        <v>1</v>
      </c>
      <c r="Z68" s="138">
        <v>9</v>
      </c>
      <c r="AA68" s="143">
        <v>9</v>
      </c>
    </row>
    <row r="69" spans="2:27" ht="15" customHeight="1">
      <c r="B69" s="97" t="s">
        <v>109</v>
      </c>
      <c r="C69" s="20" t="s">
        <v>63</v>
      </c>
      <c r="D69" s="20"/>
      <c r="E69" s="33">
        <v>51</v>
      </c>
      <c r="F69" s="140">
        <v>230</v>
      </c>
      <c r="G69" s="141">
        <v>376</v>
      </c>
      <c r="H69" s="140">
        <v>44</v>
      </c>
      <c r="I69" s="138">
        <v>92</v>
      </c>
      <c r="J69" s="138">
        <v>4</v>
      </c>
      <c r="K69" s="138">
        <v>13</v>
      </c>
      <c r="L69" s="71">
        <f t="shared" si="4"/>
        <v>48</v>
      </c>
      <c r="M69" s="88">
        <f t="shared" si="5"/>
        <v>105</v>
      </c>
      <c r="N69" s="142">
        <v>11</v>
      </c>
      <c r="O69" s="138"/>
      <c r="P69" s="138">
        <v>46</v>
      </c>
      <c r="Q69" s="141">
        <v>57</v>
      </c>
      <c r="R69" s="140">
        <v>1812</v>
      </c>
      <c r="S69" s="143">
        <v>2338</v>
      </c>
      <c r="T69" s="147">
        <v>351</v>
      </c>
      <c r="U69" s="151">
        <v>171</v>
      </c>
      <c r="V69" s="148">
        <f t="shared" si="6"/>
        <v>1395</v>
      </c>
      <c r="W69" s="152">
        <f t="shared" si="7"/>
        <v>1978</v>
      </c>
      <c r="X69" s="140">
        <v>13</v>
      </c>
      <c r="Y69" s="138">
        <v>13</v>
      </c>
      <c r="Z69" s="138">
        <v>85</v>
      </c>
      <c r="AA69" s="143">
        <v>85</v>
      </c>
    </row>
    <row r="70" spans="2:27" ht="15" customHeight="1">
      <c r="B70" s="97" t="s">
        <v>110</v>
      </c>
      <c r="C70" s="20"/>
      <c r="D70" s="20"/>
      <c r="E70" s="107">
        <v>52</v>
      </c>
      <c r="F70" s="140">
        <v>194</v>
      </c>
      <c r="G70" s="141">
        <v>284</v>
      </c>
      <c r="H70" s="140">
        <v>27</v>
      </c>
      <c r="I70" s="138">
        <v>57</v>
      </c>
      <c r="J70" s="138"/>
      <c r="K70" s="138"/>
      <c r="L70" s="71">
        <f t="shared" si="4"/>
        <v>27</v>
      </c>
      <c r="M70" s="88">
        <f t="shared" si="5"/>
        <v>57</v>
      </c>
      <c r="N70" s="142">
        <v>31</v>
      </c>
      <c r="O70" s="138">
        <v>2</v>
      </c>
      <c r="P70" s="138">
        <v>114</v>
      </c>
      <c r="Q70" s="141">
        <v>147</v>
      </c>
      <c r="R70" s="140">
        <v>880</v>
      </c>
      <c r="S70" s="143">
        <v>1192</v>
      </c>
      <c r="T70" s="147">
        <v>243</v>
      </c>
      <c r="U70" s="151">
        <v>83</v>
      </c>
      <c r="V70" s="148">
        <f t="shared" si="6"/>
        <v>728</v>
      </c>
      <c r="W70" s="152">
        <f t="shared" si="7"/>
        <v>1070</v>
      </c>
      <c r="X70" s="140">
        <v>11</v>
      </c>
      <c r="Y70" s="138">
        <v>11</v>
      </c>
      <c r="Z70" s="138">
        <v>39</v>
      </c>
      <c r="AA70" s="143">
        <v>39</v>
      </c>
    </row>
    <row r="71" spans="2:27" ht="15" customHeight="1">
      <c r="B71" s="97" t="s">
        <v>111</v>
      </c>
      <c r="C71" s="20">
        <v>1</v>
      </c>
      <c r="D71" s="20" t="s">
        <v>47</v>
      </c>
      <c r="E71" s="33">
        <v>53</v>
      </c>
      <c r="F71" s="140">
        <v>13</v>
      </c>
      <c r="G71" s="141">
        <v>23</v>
      </c>
      <c r="H71" s="140">
        <v>4</v>
      </c>
      <c r="I71" s="138">
        <v>7</v>
      </c>
      <c r="J71" s="138"/>
      <c r="K71" s="138">
        <v>3</v>
      </c>
      <c r="L71" s="71">
        <f t="shared" si="4"/>
        <v>4</v>
      </c>
      <c r="M71" s="88">
        <f t="shared" si="5"/>
        <v>10</v>
      </c>
      <c r="N71" s="142"/>
      <c r="O71" s="138"/>
      <c r="P71" s="138">
        <v>4</v>
      </c>
      <c r="Q71" s="141">
        <v>4</v>
      </c>
      <c r="R71" s="140">
        <v>65</v>
      </c>
      <c r="S71" s="143">
        <v>106</v>
      </c>
      <c r="T71" s="147">
        <v>15</v>
      </c>
      <c r="U71" s="151">
        <v>1</v>
      </c>
      <c r="V71" s="148">
        <f t="shared" si="6"/>
        <v>57</v>
      </c>
      <c r="W71" s="152">
        <f t="shared" si="7"/>
        <v>104</v>
      </c>
      <c r="X71" s="140"/>
      <c r="Y71" s="138"/>
      <c r="Z71" s="138">
        <v>4</v>
      </c>
      <c r="AA71" s="143">
        <v>4</v>
      </c>
    </row>
    <row r="72" spans="2:27" ht="15" customHeight="1">
      <c r="B72" s="97" t="s">
        <v>112</v>
      </c>
      <c r="C72" s="20"/>
      <c r="D72" s="20"/>
      <c r="E72" s="33">
        <v>54</v>
      </c>
      <c r="F72" s="140">
        <v>143</v>
      </c>
      <c r="G72" s="141">
        <v>251</v>
      </c>
      <c r="H72" s="140">
        <v>23</v>
      </c>
      <c r="I72" s="138">
        <v>48</v>
      </c>
      <c r="J72" s="138"/>
      <c r="K72" s="138">
        <v>4</v>
      </c>
      <c r="L72" s="71">
        <f t="shared" si="4"/>
        <v>23</v>
      </c>
      <c r="M72" s="88">
        <f t="shared" si="5"/>
        <v>52</v>
      </c>
      <c r="N72" s="142">
        <v>22</v>
      </c>
      <c r="O72" s="138">
        <v>1</v>
      </c>
      <c r="P72" s="138">
        <v>45</v>
      </c>
      <c r="Q72" s="141">
        <v>69</v>
      </c>
      <c r="R72" s="140">
        <v>903</v>
      </c>
      <c r="S72" s="143">
        <v>1293</v>
      </c>
      <c r="T72" s="147">
        <v>197</v>
      </c>
      <c r="U72" s="151">
        <v>88</v>
      </c>
      <c r="V72" s="148">
        <f t="shared" si="6"/>
        <v>710</v>
      </c>
      <c r="W72" s="152">
        <f t="shared" si="7"/>
        <v>1129</v>
      </c>
      <c r="X72" s="140">
        <v>15</v>
      </c>
      <c r="Y72" s="138">
        <v>15</v>
      </c>
      <c r="Z72" s="138">
        <v>63</v>
      </c>
      <c r="AA72" s="143">
        <v>63</v>
      </c>
    </row>
    <row r="73" spans="2:27" ht="15" customHeight="1">
      <c r="B73" s="97" t="s">
        <v>113</v>
      </c>
      <c r="C73" s="20">
        <v>1</v>
      </c>
      <c r="D73" s="20" t="s">
        <v>52</v>
      </c>
      <c r="E73" s="107">
        <v>55</v>
      </c>
      <c r="F73" s="140">
        <v>17</v>
      </c>
      <c r="G73" s="141">
        <v>33</v>
      </c>
      <c r="H73" s="140">
        <v>3</v>
      </c>
      <c r="I73" s="138">
        <v>5</v>
      </c>
      <c r="J73" s="138"/>
      <c r="K73" s="138"/>
      <c r="L73" s="71">
        <f t="shared" si="4"/>
        <v>3</v>
      </c>
      <c r="M73" s="88">
        <f t="shared" si="5"/>
        <v>5</v>
      </c>
      <c r="N73" s="142">
        <v>1</v>
      </c>
      <c r="O73" s="138"/>
      <c r="P73" s="138">
        <v>7</v>
      </c>
      <c r="Q73" s="141">
        <v>9</v>
      </c>
      <c r="R73" s="140">
        <v>68</v>
      </c>
      <c r="S73" s="143">
        <v>130</v>
      </c>
      <c r="T73" s="147">
        <v>12</v>
      </c>
      <c r="U73" s="151">
        <v>4</v>
      </c>
      <c r="V73" s="148">
        <f t="shared" si="6"/>
        <v>64</v>
      </c>
      <c r="W73" s="152">
        <f t="shared" si="7"/>
        <v>128</v>
      </c>
      <c r="X73" s="140">
        <v>1</v>
      </c>
      <c r="Y73" s="138">
        <v>1</v>
      </c>
      <c r="Z73" s="138">
        <v>5</v>
      </c>
      <c r="AA73" s="143">
        <v>5</v>
      </c>
    </row>
    <row r="74" spans="2:27" ht="15" customHeight="1">
      <c r="B74" s="97" t="s">
        <v>114</v>
      </c>
      <c r="C74" s="20"/>
      <c r="D74" s="20"/>
      <c r="E74" s="33">
        <v>56</v>
      </c>
      <c r="F74" s="140">
        <v>40</v>
      </c>
      <c r="G74" s="141">
        <v>65</v>
      </c>
      <c r="H74" s="140">
        <v>6</v>
      </c>
      <c r="I74" s="138">
        <v>11</v>
      </c>
      <c r="J74" s="138"/>
      <c r="K74" s="138"/>
      <c r="L74" s="71">
        <f t="shared" si="4"/>
        <v>6</v>
      </c>
      <c r="M74" s="88">
        <f t="shared" si="5"/>
        <v>11</v>
      </c>
      <c r="N74" s="142"/>
      <c r="O74" s="138">
        <v>1</v>
      </c>
      <c r="P74" s="138">
        <v>7</v>
      </c>
      <c r="Q74" s="141">
        <v>9</v>
      </c>
      <c r="R74" s="140">
        <v>286</v>
      </c>
      <c r="S74" s="143">
        <v>413</v>
      </c>
      <c r="T74" s="147">
        <v>63</v>
      </c>
      <c r="U74" s="151">
        <v>25</v>
      </c>
      <c r="V74" s="148">
        <f t="shared" si="6"/>
        <v>213</v>
      </c>
      <c r="W74" s="152">
        <f t="shared" si="7"/>
        <v>345</v>
      </c>
      <c r="X74" s="140">
        <v>2</v>
      </c>
      <c r="Y74" s="138">
        <v>2</v>
      </c>
      <c r="Z74" s="138">
        <v>21</v>
      </c>
      <c r="AA74" s="143">
        <v>21</v>
      </c>
    </row>
    <row r="75" spans="2:27" ht="15" customHeight="1">
      <c r="B75" s="97" t="s">
        <v>115</v>
      </c>
      <c r="C75" s="20" t="s">
        <v>63</v>
      </c>
      <c r="D75" s="20"/>
      <c r="E75" s="33">
        <v>57</v>
      </c>
      <c r="F75" s="140">
        <v>217</v>
      </c>
      <c r="G75" s="141">
        <v>367</v>
      </c>
      <c r="H75" s="140">
        <v>47</v>
      </c>
      <c r="I75" s="138">
        <v>94</v>
      </c>
      <c r="J75" s="138">
        <v>1</v>
      </c>
      <c r="K75" s="138">
        <v>4</v>
      </c>
      <c r="L75" s="71">
        <f t="shared" si="4"/>
        <v>48</v>
      </c>
      <c r="M75" s="88">
        <f t="shared" si="5"/>
        <v>98</v>
      </c>
      <c r="N75" s="142">
        <v>62</v>
      </c>
      <c r="O75" s="138"/>
      <c r="P75" s="138">
        <v>65</v>
      </c>
      <c r="Q75" s="141">
        <v>127</v>
      </c>
      <c r="R75" s="140">
        <v>1565</v>
      </c>
      <c r="S75" s="143">
        <v>2038</v>
      </c>
      <c r="T75" s="147">
        <v>347</v>
      </c>
      <c r="U75" s="151">
        <v>134</v>
      </c>
      <c r="V75" s="148">
        <f t="shared" si="6"/>
        <v>1259</v>
      </c>
      <c r="W75" s="152">
        <f t="shared" si="7"/>
        <v>1782</v>
      </c>
      <c r="X75" s="140">
        <v>13</v>
      </c>
      <c r="Y75" s="138">
        <v>13</v>
      </c>
      <c r="Z75" s="138">
        <v>47</v>
      </c>
      <c r="AA75" s="143">
        <v>47</v>
      </c>
    </row>
    <row r="76" spans="2:27" ht="15" customHeight="1">
      <c r="B76" s="97" t="s">
        <v>116</v>
      </c>
      <c r="C76" s="20"/>
      <c r="D76" s="20"/>
      <c r="E76" s="107">
        <v>58</v>
      </c>
      <c r="F76" s="140">
        <v>253</v>
      </c>
      <c r="G76" s="141">
        <v>477</v>
      </c>
      <c r="H76" s="140">
        <v>49</v>
      </c>
      <c r="I76" s="138">
        <v>91</v>
      </c>
      <c r="J76" s="138">
        <v>2</v>
      </c>
      <c r="K76" s="138">
        <v>8</v>
      </c>
      <c r="L76" s="71">
        <f t="shared" si="4"/>
        <v>51</v>
      </c>
      <c r="M76" s="88">
        <f t="shared" si="5"/>
        <v>99</v>
      </c>
      <c r="N76" s="142">
        <v>9</v>
      </c>
      <c r="O76" s="138"/>
      <c r="P76" s="138">
        <v>38</v>
      </c>
      <c r="Q76" s="141">
        <v>48</v>
      </c>
      <c r="R76" s="140">
        <v>779</v>
      </c>
      <c r="S76" s="143">
        <v>1311</v>
      </c>
      <c r="T76" s="147">
        <v>137</v>
      </c>
      <c r="U76" s="151">
        <v>51</v>
      </c>
      <c r="V76" s="148">
        <f t="shared" si="6"/>
        <v>690</v>
      </c>
      <c r="W76" s="152">
        <f t="shared" si="7"/>
        <v>1270</v>
      </c>
      <c r="X76" s="140">
        <v>20</v>
      </c>
      <c r="Y76" s="138">
        <v>20</v>
      </c>
      <c r="Z76" s="138">
        <v>67</v>
      </c>
      <c r="AA76" s="143">
        <v>67</v>
      </c>
    </row>
    <row r="77" spans="2:27" ht="15" customHeight="1">
      <c r="B77" s="97" t="s">
        <v>117</v>
      </c>
      <c r="C77" s="20"/>
      <c r="D77" s="20"/>
      <c r="E77" s="33">
        <v>59</v>
      </c>
      <c r="F77" s="140">
        <v>646</v>
      </c>
      <c r="G77" s="141">
        <v>1249</v>
      </c>
      <c r="H77" s="140">
        <v>182</v>
      </c>
      <c r="I77" s="138">
        <v>383</v>
      </c>
      <c r="J77" s="138">
        <v>8</v>
      </c>
      <c r="K77" s="138">
        <v>23</v>
      </c>
      <c r="L77" s="71">
        <f t="shared" si="4"/>
        <v>190</v>
      </c>
      <c r="M77" s="88">
        <f t="shared" si="5"/>
        <v>406</v>
      </c>
      <c r="N77" s="142">
        <v>62</v>
      </c>
      <c r="O77" s="138"/>
      <c r="P77" s="138">
        <v>88</v>
      </c>
      <c r="Q77" s="141">
        <v>150</v>
      </c>
      <c r="R77" s="140">
        <v>2072</v>
      </c>
      <c r="S77" s="143">
        <v>3205</v>
      </c>
      <c r="T77" s="147">
        <v>369</v>
      </c>
      <c r="U77" s="151">
        <v>144</v>
      </c>
      <c r="V77" s="148">
        <f t="shared" si="6"/>
        <v>1899</v>
      </c>
      <c r="W77" s="152">
        <f t="shared" si="7"/>
        <v>3248</v>
      </c>
      <c r="X77" s="140">
        <v>26</v>
      </c>
      <c r="Y77" s="138">
        <v>26</v>
      </c>
      <c r="Z77" s="138">
        <v>138</v>
      </c>
      <c r="AA77" s="143">
        <v>138</v>
      </c>
    </row>
    <row r="78" spans="2:27" ht="15" customHeight="1">
      <c r="B78" s="97" t="s">
        <v>118</v>
      </c>
      <c r="C78" s="20"/>
      <c r="D78" s="20"/>
      <c r="E78" s="33">
        <v>60</v>
      </c>
      <c r="F78" s="140">
        <v>101</v>
      </c>
      <c r="G78" s="141">
        <v>154</v>
      </c>
      <c r="H78" s="140">
        <v>16</v>
      </c>
      <c r="I78" s="138">
        <v>34</v>
      </c>
      <c r="J78" s="138"/>
      <c r="K78" s="138">
        <v>2</v>
      </c>
      <c r="L78" s="71">
        <f t="shared" si="4"/>
        <v>16</v>
      </c>
      <c r="M78" s="88">
        <f t="shared" si="5"/>
        <v>36</v>
      </c>
      <c r="N78" s="142">
        <v>4</v>
      </c>
      <c r="O78" s="138"/>
      <c r="P78" s="138">
        <v>29</v>
      </c>
      <c r="Q78" s="141">
        <v>33</v>
      </c>
      <c r="R78" s="140">
        <v>686</v>
      </c>
      <c r="S78" s="143">
        <v>923</v>
      </c>
      <c r="T78" s="147">
        <v>156</v>
      </c>
      <c r="U78" s="151">
        <v>88</v>
      </c>
      <c r="V78" s="148">
        <f t="shared" si="6"/>
        <v>491</v>
      </c>
      <c r="W78" s="152">
        <f t="shared" si="7"/>
        <v>748</v>
      </c>
      <c r="X78" s="140">
        <v>6</v>
      </c>
      <c r="Y78" s="138">
        <v>6</v>
      </c>
      <c r="Z78" s="138">
        <v>40</v>
      </c>
      <c r="AA78" s="143">
        <v>40</v>
      </c>
    </row>
    <row r="79" spans="2:27" ht="15" customHeight="1">
      <c r="B79" s="97" t="s">
        <v>119</v>
      </c>
      <c r="C79" s="20"/>
      <c r="D79" s="20"/>
      <c r="E79" s="107">
        <v>61</v>
      </c>
      <c r="F79" s="140">
        <v>35</v>
      </c>
      <c r="G79" s="141">
        <v>55</v>
      </c>
      <c r="H79" s="140">
        <v>7</v>
      </c>
      <c r="I79" s="138">
        <v>11</v>
      </c>
      <c r="J79" s="138"/>
      <c r="K79" s="138">
        <v>2</v>
      </c>
      <c r="L79" s="71">
        <f t="shared" si="4"/>
        <v>7</v>
      </c>
      <c r="M79" s="88">
        <f t="shared" si="5"/>
        <v>13</v>
      </c>
      <c r="N79" s="142">
        <v>7</v>
      </c>
      <c r="O79" s="138"/>
      <c r="P79" s="138">
        <v>17</v>
      </c>
      <c r="Q79" s="141">
        <v>24</v>
      </c>
      <c r="R79" s="140">
        <v>170</v>
      </c>
      <c r="S79" s="143">
        <v>298</v>
      </c>
      <c r="T79" s="147">
        <v>31</v>
      </c>
      <c r="U79" s="151">
        <v>19</v>
      </c>
      <c r="V79" s="148">
        <f t="shared" si="6"/>
        <v>151</v>
      </c>
      <c r="W79" s="152">
        <f t="shared" si="7"/>
        <v>285</v>
      </c>
      <c r="X79" s="140">
        <v>4</v>
      </c>
      <c r="Y79" s="138">
        <v>4</v>
      </c>
      <c r="Z79" s="138">
        <v>14</v>
      </c>
      <c r="AA79" s="143">
        <v>14</v>
      </c>
    </row>
    <row r="80" spans="2:27" ht="15" customHeight="1">
      <c r="B80" s="97" t="s">
        <v>120</v>
      </c>
      <c r="C80" s="20" t="s">
        <v>63</v>
      </c>
      <c r="D80" s="20"/>
      <c r="E80" s="33">
        <v>62</v>
      </c>
      <c r="F80" s="140">
        <v>1006</v>
      </c>
      <c r="G80" s="141">
        <v>1798</v>
      </c>
      <c r="H80" s="140">
        <v>266</v>
      </c>
      <c r="I80" s="138">
        <v>510</v>
      </c>
      <c r="J80" s="138">
        <v>11</v>
      </c>
      <c r="K80" s="138">
        <v>36</v>
      </c>
      <c r="L80" s="71">
        <f t="shared" si="4"/>
        <v>277</v>
      </c>
      <c r="M80" s="88">
        <f t="shared" si="5"/>
        <v>546</v>
      </c>
      <c r="N80" s="142">
        <v>76</v>
      </c>
      <c r="O80" s="138">
        <v>2</v>
      </c>
      <c r="P80" s="138">
        <v>193</v>
      </c>
      <c r="Q80" s="141">
        <v>272</v>
      </c>
      <c r="R80" s="140">
        <v>3615</v>
      </c>
      <c r="S80" s="143">
        <v>5128</v>
      </c>
      <c r="T80" s="147">
        <v>717</v>
      </c>
      <c r="U80" s="151">
        <v>351</v>
      </c>
      <c r="V80" s="148">
        <f t="shared" si="6"/>
        <v>3096</v>
      </c>
      <c r="W80" s="152">
        <f t="shared" si="7"/>
        <v>4878</v>
      </c>
      <c r="X80" s="140">
        <v>36</v>
      </c>
      <c r="Y80" s="138">
        <v>36</v>
      </c>
      <c r="Z80" s="138">
        <v>271</v>
      </c>
      <c r="AA80" s="143">
        <v>271</v>
      </c>
    </row>
    <row r="81" spans="2:27" ht="15" customHeight="1">
      <c r="B81" s="97" t="s">
        <v>121</v>
      </c>
      <c r="C81" s="20">
        <v>1</v>
      </c>
      <c r="D81" s="20" t="s">
        <v>47</v>
      </c>
      <c r="E81" s="33">
        <v>63</v>
      </c>
      <c r="F81" s="140">
        <v>16</v>
      </c>
      <c r="G81" s="141">
        <v>28</v>
      </c>
      <c r="H81" s="140">
        <v>3</v>
      </c>
      <c r="I81" s="138">
        <v>8</v>
      </c>
      <c r="J81" s="138"/>
      <c r="K81" s="138">
        <v>3</v>
      </c>
      <c r="L81" s="71">
        <f t="shared" si="4"/>
        <v>3</v>
      </c>
      <c r="M81" s="88">
        <f t="shared" si="5"/>
        <v>11</v>
      </c>
      <c r="N81" s="142"/>
      <c r="O81" s="138"/>
      <c r="P81" s="138">
        <v>5</v>
      </c>
      <c r="Q81" s="141">
        <v>5</v>
      </c>
      <c r="R81" s="140">
        <v>86</v>
      </c>
      <c r="S81" s="143">
        <v>169</v>
      </c>
      <c r="T81" s="147">
        <v>12</v>
      </c>
      <c r="U81" s="151">
        <v>7</v>
      </c>
      <c r="V81" s="148">
        <f t="shared" si="6"/>
        <v>75</v>
      </c>
      <c r="W81" s="152">
        <f t="shared" si="7"/>
        <v>166</v>
      </c>
      <c r="X81" s="140"/>
      <c r="Y81" s="138"/>
      <c r="Z81" s="138">
        <v>1</v>
      </c>
      <c r="AA81" s="143">
        <v>1</v>
      </c>
    </row>
    <row r="82" spans="2:27" ht="15" customHeight="1">
      <c r="B82" s="97" t="s">
        <v>122</v>
      </c>
      <c r="C82" s="20" t="s">
        <v>63</v>
      </c>
      <c r="D82" s="20"/>
      <c r="E82" s="107">
        <v>64</v>
      </c>
      <c r="F82" s="140">
        <v>17608</v>
      </c>
      <c r="G82" s="141">
        <v>33878</v>
      </c>
      <c r="H82" s="140">
        <v>3805</v>
      </c>
      <c r="I82" s="138">
        <v>8375</v>
      </c>
      <c r="J82" s="138">
        <v>203</v>
      </c>
      <c r="K82" s="138">
        <v>690</v>
      </c>
      <c r="L82" s="71">
        <f t="shared" si="4"/>
        <v>4008</v>
      </c>
      <c r="M82" s="88">
        <f t="shared" si="5"/>
        <v>9065</v>
      </c>
      <c r="N82" s="142">
        <v>626</v>
      </c>
      <c r="O82" s="138">
        <v>7</v>
      </c>
      <c r="P82" s="138">
        <v>1453</v>
      </c>
      <c r="Q82" s="141">
        <v>2087</v>
      </c>
      <c r="R82" s="140">
        <v>23319</v>
      </c>
      <c r="S82" s="143">
        <v>39269</v>
      </c>
      <c r="T82" s="147">
        <v>3941</v>
      </c>
      <c r="U82" s="151">
        <v>493</v>
      </c>
      <c r="V82" s="148">
        <f t="shared" si="6"/>
        <v>24980</v>
      </c>
      <c r="W82" s="152">
        <f t="shared" si="7"/>
        <v>45987</v>
      </c>
      <c r="X82" s="140">
        <v>699</v>
      </c>
      <c r="Y82" s="138">
        <v>700</v>
      </c>
      <c r="Z82" s="138">
        <v>5430</v>
      </c>
      <c r="AA82" s="143">
        <v>5435</v>
      </c>
    </row>
    <row r="83" spans="2:27" ht="15" customHeight="1">
      <c r="B83" s="97" t="s">
        <v>123</v>
      </c>
      <c r="C83" s="20">
        <v>1</v>
      </c>
      <c r="D83" s="20" t="s">
        <v>52</v>
      </c>
      <c r="E83" s="33">
        <v>65</v>
      </c>
      <c r="F83" s="140">
        <v>5</v>
      </c>
      <c r="G83" s="141">
        <v>10</v>
      </c>
      <c r="H83" s="140">
        <v>1</v>
      </c>
      <c r="I83" s="138">
        <v>2</v>
      </c>
      <c r="J83" s="138"/>
      <c r="K83" s="138"/>
      <c r="L83" s="71">
        <f aca="true" t="shared" si="8" ref="L83:L114">SUM(H83,J83)</f>
        <v>1</v>
      </c>
      <c r="M83" s="88">
        <f aca="true" t="shared" si="9" ref="M83:M114">SUM(I83,K83)</f>
        <v>2</v>
      </c>
      <c r="N83" s="142"/>
      <c r="O83" s="138">
        <v>1</v>
      </c>
      <c r="P83" s="138">
        <v>11</v>
      </c>
      <c r="Q83" s="141">
        <v>121</v>
      </c>
      <c r="R83" s="140">
        <v>45</v>
      </c>
      <c r="S83" s="143">
        <v>91</v>
      </c>
      <c r="T83" s="147">
        <v>7</v>
      </c>
      <c r="U83" s="151">
        <v>2</v>
      </c>
      <c r="V83" s="148">
        <f aca="true" t="shared" si="10" ref="V83:V114">SUM(L83+Q83+R83-T83-U83)</f>
        <v>158</v>
      </c>
      <c r="W83" s="152">
        <f aca="true" t="shared" si="11" ref="W83:W114">SUM(M83+Q83+S83-T83-U83)</f>
        <v>205</v>
      </c>
      <c r="X83" s="140"/>
      <c r="Y83" s="138"/>
      <c r="Z83" s="138">
        <v>2</v>
      </c>
      <c r="AA83" s="143">
        <v>2</v>
      </c>
    </row>
    <row r="84" spans="2:27" ht="15" customHeight="1">
      <c r="B84" s="97" t="s">
        <v>124</v>
      </c>
      <c r="C84" s="20">
        <v>1</v>
      </c>
      <c r="D84" s="20" t="s">
        <v>52</v>
      </c>
      <c r="E84" s="33">
        <v>66</v>
      </c>
      <c r="F84" s="140">
        <v>15</v>
      </c>
      <c r="G84" s="141">
        <v>25</v>
      </c>
      <c r="H84" s="140">
        <v>4</v>
      </c>
      <c r="I84" s="138">
        <v>7</v>
      </c>
      <c r="J84" s="138"/>
      <c r="K84" s="138">
        <v>1</v>
      </c>
      <c r="L84" s="71">
        <f t="shared" si="8"/>
        <v>4</v>
      </c>
      <c r="M84" s="88">
        <f t="shared" si="9"/>
        <v>8</v>
      </c>
      <c r="N84" s="142">
        <v>3</v>
      </c>
      <c r="O84" s="138"/>
      <c r="P84" s="138">
        <v>16</v>
      </c>
      <c r="Q84" s="141">
        <v>19</v>
      </c>
      <c r="R84" s="140">
        <v>126</v>
      </c>
      <c r="S84" s="143">
        <v>215</v>
      </c>
      <c r="T84" s="147">
        <v>27</v>
      </c>
      <c r="U84" s="151">
        <v>15</v>
      </c>
      <c r="V84" s="148">
        <f t="shared" si="10"/>
        <v>107</v>
      </c>
      <c r="W84" s="152">
        <f t="shared" si="11"/>
        <v>200</v>
      </c>
      <c r="X84" s="140"/>
      <c r="Y84" s="138"/>
      <c r="Z84" s="138">
        <v>10</v>
      </c>
      <c r="AA84" s="143">
        <v>10</v>
      </c>
    </row>
    <row r="85" spans="2:27" ht="15" customHeight="1">
      <c r="B85" s="97" t="s">
        <v>125</v>
      </c>
      <c r="C85" s="20"/>
      <c r="D85" s="20"/>
      <c r="E85" s="107">
        <v>67</v>
      </c>
      <c r="F85" s="140">
        <v>21</v>
      </c>
      <c r="G85" s="141">
        <v>41</v>
      </c>
      <c r="H85" s="140">
        <v>4</v>
      </c>
      <c r="I85" s="138">
        <v>5</v>
      </c>
      <c r="J85" s="138"/>
      <c r="K85" s="138">
        <v>1</v>
      </c>
      <c r="L85" s="71">
        <f t="shared" si="8"/>
        <v>4</v>
      </c>
      <c r="M85" s="88">
        <f t="shared" si="9"/>
        <v>6</v>
      </c>
      <c r="N85" s="142">
        <v>3</v>
      </c>
      <c r="O85" s="138"/>
      <c r="P85" s="138">
        <v>16</v>
      </c>
      <c r="Q85" s="141">
        <v>21</v>
      </c>
      <c r="R85" s="140">
        <v>182</v>
      </c>
      <c r="S85" s="143">
        <v>335</v>
      </c>
      <c r="T85" s="147">
        <v>28</v>
      </c>
      <c r="U85" s="151">
        <v>15</v>
      </c>
      <c r="V85" s="148">
        <f t="shared" si="10"/>
        <v>164</v>
      </c>
      <c r="W85" s="152">
        <f t="shared" si="11"/>
        <v>319</v>
      </c>
      <c r="X85" s="140">
        <v>2</v>
      </c>
      <c r="Y85" s="138">
        <v>2</v>
      </c>
      <c r="Z85" s="138">
        <v>9</v>
      </c>
      <c r="AA85" s="143">
        <v>9</v>
      </c>
    </row>
    <row r="86" spans="2:27" ht="15" customHeight="1">
      <c r="B86" s="97" t="s">
        <v>126</v>
      </c>
      <c r="C86" s="20">
        <v>1</v>
      </c>
      <c r="D86" s="20" t="s">
        <v>52</v>
      </c>
      <c r="E86" s="33">
        <v>68</v>
      </c>
      <c r="F86" s="140">
        <v>19</v>
      </c>
      <c r="G86" s="141">
        <v>29</v>
      </c>
      <c r="H86" s="140">
        <v>3</v>
      </c>
      <c r="I86" s="138">
        <v>7</v>
      </c>
      <c r="J86" s="138"/>
      <c r="K86" s="138"/>
      <c r="L86" s="71">
        <f t="shared" si="8"/>
        <v>3</v>
      </c>
      <c r="M86" s="88">
        <f t="shared" si="9"/>
        <v>7</v>
      </c>
      <c r="N86" s="142">
        <v>5</v>
      </c>
      <c r="O86" s="138"/>
      <c r="P86" s="138">
        <v>4</v>
      </c>
      <c r="Q86" s="141">
        <v>9</v>
      </c>
      <c r="R86" s="140">
        <v>164</v>
      </c>
      <c r="S86" s="143">
        <v>243</v>
      </c>
      <c r="T86" s="147">
        <v>31</v>
      </c>
      <c r="U86" s="151">
        <v>20</v>
      </c>
      <c r="V86" s="148">
        <f t="shared" si="10"/>
        <v>125</v>
      </c>
      <c r="W86" s="152">
        <f t="shared" si="11"/>
        <v>208</v>
      </c>
      <c r="X86" s="140"/>
      <c r="Y86" s="138"/>
      <c r="Z86" s="138">
        <v>8</v>
      </c>
      <c r="AA86" s="143">
        <v>8</v>
      </c>
    </row>
    <row r="87" spans="2:27" ht="15" customHeight="1">
      <c r="B87" s="97" t="s">
        <v>127</v>
      </c>
      <c r="C87" s="20"/>
      <c r="D87" s="20"/>
      <c r="E87" s="33">
        <v>69</v>
      </c>
      <c r="F87" s="140">
        <v>630</v>
      </c>
      <c r="G87" s="141">
        <v>1211</v>
      </c>
      <c r="H87" s="140">
        <v>129</v>
      </c>
      <c r="I87" s="138">
        <v>268</v>
      </c>
      <c r="J87" s="138">
        <v>9</v>
      </c>
      <c r="K87" s="138">
        <v>31</v>
      </c>
      <c r="L87" s="71">
        <f t="shared" si="8"/>
        <v>138</v>
      </c>
      <c r="M87" s="88">
        <f t="shared" si="9"/>
        <v>299</v>
      </c>
      <c r="N87" s="142">
        <v>25</v>
      </c>
      <c r="O87" s="138"/>
      <c r="P87" s="138">
        <v>95</v>
      </c>
      <c r="Q87" s="141">
        <v>121</v>
      </c>
      <c r="R87" s="140">
        <v>2093</v>
      </c>
      <c r="S87" s="143">
        <v>3347</v>
      </c>
      <c r="T87" s="147">
        <v>426</v>
      </c>
      <c r="U87" s="151">
        <v>129</v>
      </c>
      <c r="V87" s="148">
        <f t="shared" si="10"/>
        <v>1797</v>
      </c>
      <c r="W87" s="152">
        <f t="shared" si="11"/>
        <v>3212</v>
      </c>
      <c r="X87" s="140">
        <v>30</v>
      </c>
      <c r="Y87" s="138">
        <v>31</v>
      </c>
      <c r="Z87" s="138">
        <v>132</v>
      </c>
      <c r="AA87" s="143">
        <v>132</v>
      </c>
    </row>
    <row r="88" spans="2:27" ht="15" customHeight="1">
      <c r="B88" s="97" t="s">
        <v>128</v>
      </c>
      <c r="C88" s="20">
        <v>1</v>
      </c>
      <c r="D88" s="20" t="s">
        <v>75</v>
      </c>
      <c r="E88" s="107">
        <v>70</v>
      </c>
      <c r="F88" s="140">
        <v>16</v>
      </c>
      <c r="G88" s="141">
        <v>23</v>
      </c>
      <c r="H88" s="140">
        <v>6</v>
      </c>
      <c r="I88" s="138">
        <v>7</v>
      </c>
      <c r="J88" s="138"/>
      <c r="K88" s="138"/>
      <c r="L88" s="71">
        <f t="shared" si="8"/>
        <v>6</v>
      </c>
      <c r="M88" s="88">
        <f t="shared" si="9"/>
        <v>7</v>
      </c>
      <c r="N88" s="142">
        <v>1</v>
      </c>
      <c r="O88" s="138"/>
      <c r="P88" s="138">
        <v>4</v>
      </c>
      <c r="Q88" s="141">
        <v>5</v>
      </c>
      <c r="R88" s="140">
        <v>107</v>
      </c>
      <c r="S88" s="143">
        <v>189</v>
      </c>
      <c r="T88" s="147">
        <v>16</v>
      </c>
      <c r="U88" s="151">
        <v>20</v>
      </c>
      <c r="V88" s="148">
        <f t="shared" si="10"/>
        <v>82</v>
      </c>
      <c r="W88" s="152">
        <f t="shared" si="11"/>
        <v>165</v>
      </c>
      <c r="X88" s="140"/>
      <c r="Y88" s="138"/>
      <c r="Z88" s="138">
        <v>6</v>
      </c>
      <c r="AA88" s="143">
        <v>6</v>
      </c>
    </row>
    <row r="89" spans="2:27" ht="15" customHeight="1">
      <c r="B89" s="97" t="s">
        <v>129</v>
      </c>
      <c r="C89" s="20">
        <v>1</v>
      </c>
      <c r="D89" s="20" t="s">
        <v>47</v>
      </c>
      <c r="E89" s="33">
        <v>71</v>
      </c>
      <c r="F89" s="140">
        <v>108</v>
      </c>
      <c r="G89" s="141">
        <v>160</v>
      </c>
      <c r="H89" s="140">
        <v>7</v>
      </c>
      <c r="I89" s="138">
        <v>12</v>
      </c>
      <c r="J89" s="138">
        <v>1</v>
      </c>
      <c r="K89" s="138">
        <v>4</v>
      </c>
      <c r="L89" s="71">
        <f t="shared" si="8"/>
        <v>8</v>
      </c>
      <c r="M89" s="88">
        <f t="shared" si="9"/>
        <v>16</v>
      </c>
      <c r="N89" s="142">
        <v>6</v>
      </c>
      <c r="O89" s="138">
        <v>3</v>
      </c>
      <c r="P89" s="138">
        <v>20</v>
      </c>
      <c r="Q89" s="141">
        <v>29</v>
      </c>
      <c r="R89" s="140">
        <v>231</v>
      </c>
      <c r="S89" s="143">
        <v>433</v>
      </c>
      <c r="T89" s="147">
        <v>40</v>
      </c>
      <c r="U89" s="151">
        <v>16</v>
      </c>
      <c r="V89" s="148">
        <f t="shared" si="10"/>
        <v>212</v>
      </c>
      <c r="W89" s="152">
        <f t="shared" si="11"/>
        <v>422</v>
      </c>
      <c r="X89" s="140">
        <v>2</v>
      </c>
      <c r="Y89" s="138">
        <v>2</v>
      </c>
      <c r="Z89" s="138">
        <v>106</v>
      </c>
      <c r="AA89" s="143">
        <v>106</v>
      </c>
    </row>
    <row r="90" spans="2:27" ht="15" customHeight="1">
      <c r="B90" s="97" t="s">
        <v>130</v>
      </c>
      <c r="C90" s="20"/>
      <c r="D90" s="20"/>
      <c r="E90" s="33">
        <v>72</v>
      </c>
      <c r="F90" s="140">
        <v>94</v>
      </c>
      <c r="G90" s="141">
        <v>181</v>
      </c>
      <c r="H90" s="140">
        <v>26</v>
      </c>
      <c r="I90" s="138">
        <v>57</v>
      </c>
      <c r="J90" s="138"/>
      <c r="K90" s="138"/>
      <c r="L90" s="71">
        <f t="shared" si="8"/>
        <v>26</v>
      </c>
      <c r="M90" s="88">
        <f t="shared" si="9"/>
        <v>57</v>
      </c>
      <c r="N90" s="142">
        <v>9</v>
      </c>
      <c r="O90" s="138"/>
      <c r="P90" s="138">
        <v>36</v>
      </c>
      <c r="Q90" s="141">
        <v>46</v>
      </c>
      <c r="R90" s="140">
        <v>460</v>
      </c>
      <c r="S90" s="143">
        <v>815</v>
      </c>
      <c r="T90" s="147">
        <v>72</v>
      </c>
      <c r="U90" s="151">
        <v>23</v>
      </c>
      <c r="V90" s="148">
        <f t="shared" si="10"/>
        <v>437</v>
      </c>
      <c r="W90" s="152">
        <f t="shared" si="11"/>
        <v>823</v>
      </c>
      <c r="X90" s="140">
        <v>5</v>
      </c>
      <c r="Y90" s="138">
        <v>5</v>
      </c>
      <c r="Z90" s="138">
        <v>41</v>
      </c>
      <c r="AA90" s="143">
        <v>41</v>
      </c>
    </row>
    <row r="91" spans="2:27" ht="15" customHeight="1">
      <c r="B91" s="97" t="s">
        <v>131</v>
      </c>
      <c r="C91" s="20">
        <v>1</v>
      </c>
      <c r="D91" s="20" t="s">
        <v>47</v>
      </c>
      <c r="E91" s="107">
        <v>73</v>
      </c>
      <c r="F91" s="140">
        <v>35</v>
      </c>
      <c r="G91" s="141">
        <v>66</v>
      </c>
      <c r="H91" s="140">
        <v>5</v>
      </c>
      <c r="I91" s="138">
        <v>7</v>
      </c>
      <c r="J91" s="138"/>
      <c r="K91" s="138">
        <v>2</v>
      </c>
      <c r="L91" s="71">
        <f t="shared" si="8"/>
        <v>5</v>
      </c>
      <c r="M91" s="88">
        <f t="shared" si="9"/>
        <v>9</v>
      </c>
      <c r="N91" s="142"/>
      <c r="O91" s="138"/>
      <c r="P91" s="138">
        <v>4</v>
      </c>
      <c r="Q91" s="141">
        <v>5</v>
      </c>
      <c r="R91" s="140">
        <v>150</v>
      </c>
      <c r="S91" s="143">
        <v>260</v>
      </c>
      <c r="T91" s="147">
        <v>22</v>
      </c>
      <c r="U91" s="151">
        <v>9</v>
      </c>
      <c r="V91" s="148">
        <f t="shared" si="10"/>
        <v>129</v>
      </c>
      <c r="W91" s="152">
        <f t="shared" si="11"/>
        <v>243</v>
      </c>
      <c r="X91" s="140">
        <v>1</v>
      </c>
      <c r="Y91" s="138">
        <v>1</v>
      </c>
      <c r="Z91" s="138">
        <v>13</v>
      </c>
      <c r="AA91" s="143">
        <v>13</v>
      </c>
    </row>
    <row r="92" spans="2:27" ht="15" customHeight="1">
      <c r="B92" s="97" t="s">
        <v>132</v>
      </c>
      <c r="C92" s="20">
        <v>1</v>
      </c>
      <c r="D92" s="20" t="s">
        <v>52</v>
      </c>
      <c r="E92" s="33">
        <v>74</v>
      </c>
      <c r="F92" s="140">
        <v>47</v>
      </c>
      <c r="G92" s="141">
        <v>71</v>
      </c>
      <c r="H92" s="140">
        <v>6</v>
      </c>
      <c r="I92" s="138">
        <v>12</v>
      </c>
      <c r="J92" s="138"/>
      <c r="K92" s="138">
        <v>1</v>
      </c>
      <c r="L92" s="71">
        <f t="shared" si="8"/>
        <v>6</v>
      </c>
      <c r="M92" s="88">
        <f t="shared" si="9"/>
        <v>13</v>
      </c>
      <c r="N92" s="142">
        <v>33</v>
      </c>
      <c r="O92" s="138"/>
      <c r="P92" s="138">
        <v>44</v>
      </c>
      <c r="Q92" s="141">
        <v>77</v>
      </c>
      <c r="R92" s="140">
        <v>406</v>
      </c>
      <c r="S92" s="143">
        <v>569</v>
      </c>
      <c r="T92" s="147">
        <v>90</v>
      </c>
      <c r="U92" s="151">
        <v>41</v>
      </c>
      <c r="V92" s="148">
        <f t="shared" si="10"/>
        <v>358</v>
      </c>
      <c r="W92" s="152">
        <f t="shared" si="11"/>
        <v>528</v>
      </c>
      <c r="X92" s="140">
        <v>3</v>
      </c>
      <c r="Y92" s="138">
        <v>3</v>
      </c>
      <c r="Z92" s="138">
        <v>17</v>
      </c>
      <c r="AA92" s="143">
        <v>17</v>
      </c>
    </row>
    <row r="93" spans="2:27" ht="15" customHeight="1">
      <c r="B93" s="97" t="s">
        <v>133</v>
      </c>
      <c r="C93" s="20">
        <v>1</v>
      </c>
      <c r="D93" s="20" t="s">
        <v>75</v>
      </c>
      <c r="E93" s="33">
        <v>75</v>
      </c>
      <c r="F93" s="140">
        <v>3</v>
      </c>
      <c r="G93" s="141">
        <v>4</v>
      </c>
      <c r="H93" s="140"/>
      <c r="I93" s="138">
        <v>1</v>
      </c>
      <c r="J93" s="138"/>
      <c r="K93" s="138"/>
      <c r="L93" s="71">
        <f t="shared" si="8"/>
        <v>0</v>
      </c>
      <c r="M93" s="88">
        <f t="shared" si="9"/>
        <v>1</v>
      </c>
      <c r="N93" s="142">
        <v>1</v>
      </c>
      <c r="O93" s="138"/>
      <c r="P93" s="138">
        <v>6</v>
      </c>
      <c r="Q93" s="141">
        <v>7</v>
      </c>
      <c r="R93" s="140">
        <v>33</v>
      </c>
      <c r="S93" s="143">
        <v>59</v>
      </c>
      <c r="T93" s="147">
        <v>6</v>
      </c>
      <c r="U93" s="151">
        <v>4</v>
      </c>
      <c r="V93" s="148">
        <f t="shared" si="10"/>
        <v>30</v>
      </c>
      <c r="W93" s="152">
        <f t="shared" si="11"/>
        <v>57</v>
      </c>
      <c r="X93" s="140">
        <v>1</v>
      </c>
      <c r="Y93" s="138">
        <v>1</v>
      </c>
      <c r="Z93" s="138">
        <v>5</v>
      </c>
      <c r="AA93" s="143">
        <v>5</v>
      </c>
    </row>
    <row r="94" spans="2:27" ht="15" customHeight="1">
      <c r="B94" s="97" t="s">
        <v>134</v>
      </c>
      <c r="C94" s="20"/>
      <c r="D94" s="20"/>
      <c r="E94" s="107">
        <v>76</v>
      </c>
      <c r="F94" s="140">
        <v>54</v>
      </c>
      <c r="G94" s="141">
        <v>77</v>
      </c>
      <c r="H94" s="140">
        <v>7</v>
      </c>
      <c r="I94" s="138">
        <v>15</v>
      </c>
      <c r="J94" s="138"/>
      <c r="K94" s="138">
        <v>1</v>
      </c>
      <c r="L94" s="71">
        <f t="shared" si="8"/>
        <v>7</v>
      </c>
      <c r="M94" s="88">
        <f t="shared" si="9"/>
        <v>16</v>
      </c>
      <c r="N94" s="142">
        <v>1</v>
      </c>
      <c r="O94" s="138"/>
      <c r="P94" s="138">
        <v>12</v>
      </c>
      <c r="Q94" s="141">
        <v>14</v>
      </c>
      <c r="R94" s="140">
        <v>391</v>
      </c>
      <c r="S94" s="143">
        <v>543</v>
      </c>
      <c r="T94" s="147">
        <v>77</v>
      </c>
      <c r="U94" s="151">
        <v>48</v>
      </c>
      <c r="V94" s="148">
        <f t="shared" si="10"/>
        <v>287</v>
      </c>
      <c r="W94" s="152">
        <f t="shared" si="11"/>
        <v>448</v>
      </c>
      <c r="X94" s="140">
        <v>4</v>
      </c>
      <c r="Y94" s="138">
        <v>4</v>
      </c>
      <c r="Z94" s="138">
        <v>27</v>
      </c>
      <c r="AA94" s="143">
        <v>27</v>
      </c>
    </row>
    <row r="95" spans="2:27" ht="15" customHeight="1">
      <c r="B95" s="97" t="s">
        <v>135</v>
      </c>
      <c r="C95" s="20" t="s">
        <v>63</v>
      </c>
      <c r="D95" s="20"/>
      <c r="E95" s="33">
        <v>77</v>
      </c>
      <c r="F95" s="140">
        <v>1337</v>
      </c>
      <c r="G95" s="141">
        <v>2682</v>
      </c>
      <c r="H95" s="140">
        <v>359</v>
      </c>
      <c r="I95" s="138">
        <v>762</v>
      </c>
      <c r="J95" s="138">
        <v>22</v>
      </c>
      <c r="K95" s="138">
        <v>81</v>
      </c>
      <c r="L95" s="71">
        <f t="shared" si="8"/>
        <v>381</v>
      </c>
      <c r="M95" s="88">
        <f t="shared" si="9"/>
        <v>843</v>
      </c>
      <c r="N95" s="142">
        <v>88</v>
      </c>
      <c r="O95" s="138">
        <v>1</v>
      </c>
      <c r="P95" s="138">
        <v>270</v>
      </c>
      <c r="Q95" s="141">
        <v>359</v>
      </c>
      <c r="R95" s="140">
        <v>4300</v>
      </c>
      <c r="S95" s="143">
        <v>6868</v>
      </c>
      <c r="T95" s="147">
        <v>813</v>
      </c>
      <c r="U95" s="151">
        <v>259</v>
      </c>
      <c r="V95" s="148">
        <f t="shared" si="10"/>
        <v>3968</v>
      </c>
      <c r="W95" s="152">
        <f t="shared" si="11"/>
        <v>6998</v>
      </c>
      <c r="X95" s="140">
        <v>68</v>
      </c>
      <c r="Y95" s="138">
        <v>68</v>
      </c>
      <c r="Z95" s="138">
        <v>380</v>
      </c>
      <c r="AA95" s="143">
        <v>380</v>
      </c>
    </row>
    <row r="96" spans="2:27" ht="15" customHeight="1">
      <c r="B96" s="97" t="s">
        <v>136</v>
      </c>
      <c r="C96" s="20"/>
      <c r="D96" s="20"/>
      <c r="E96" s="33">
        <v>78</v>
      </c>
      <c r="F96" s="140">
        <v>119</v>
      </c>
      <c r="G96" s="141">
        <v>210</v>
      </c>
      <c r="H96" s="140">
        <v>24</v>
      </c>
      <c r="I96" s="138">
        <v>55</v>
      </c>
      <c r="J96" s="138"/>
      <c r="K96" s="138">
        <v>2</v>
      </c>
      <c r="L96" s="71">
        <f t="shared" si="8"/>
        <v>24</v>
      </c>
      <c r="M96" s="88">
        <f t="shared" si="9"/>
        <v>57</v>
      </c>
      <c r="N96" s="142">
        <v>2</v>
      </c>
      <c r="O96" s="138"/>
      <c r="P96" s="138">
        <v>18</v>
      </c>
      <c r="Q96" s="141">
        <v>20</v>
      </c>
      <c r="R96" s="140">
        <v>588</v>
      </c>
      <c r="S96" s="143">
        <v>923</v>
      </c>
      <c r="T96" s="147">
        <v>96</v>
      </c>
      <c r="U96" s="151">
        <v>59</v>
      </c>
      <c r="V96" s="148">
        <f t="shared" si="10"/>
        <v>477</v>
      </c>
      <c r="W96" s="152">
        <f t="shared" si="11"/>
        <v>845</v>
      </c>
      <c r="X96" s="140">
        <v>5</v>
      </c>
      <c r="Y96" s="138">
        <v>5</v>
      </c>
      <c r="Z96" s="138">
        <v>42</v>
      </c>
      <c r="AA96" s="143">
        <v>42</v>
      </c>
    </row>
    <row r="97" spans="2:27" ht="15" customHeight="1">
      <c r="B97" s="97" t="s">
        <v>137</v>
      </c>
      <c r="C97" s="20">
        <v>1</v>
      </c>
      <c r="D97" s="20" t="s">
        <v>47</v>
      </c>
      <c r="E97" s="107">
        <v>79</v>
      </c>
      <c r="F97" s="140">
        <v>24</v>
      </c>
      <c r="G97" s="141">
        <v>33</v>
      </c>
      <c r="H97" s="140">
        <v>6</v>
      </c>
      <c r="I97" s="138">
        <v>9</v>
      </c>
      <c r="J97" s="138"/>
      <c r="K97" s="138"/>
      <c r="L97" s="71">
        <f t="shared" si="8"/>
        <v>6</v>
      </c>
      <c r="M97" s="88">
        <f t="shared" si="9"/>
        <v>9</v>
      </c>
      <c r="N97" s="142">
        <v>1</v>
      </c>
      <c r="O97" s="138"/>
      <c r="P97" s="138">
        <v>9</v>
      </c>
      <c r="Q97" s="141">
        <v>10</v>
      </c>
      <c r="R97" s="140">
        <v>237</v>
      </c>
      <c r="S97" s="143">
        <v>330</v>
      </c>
      <c r="T97" s="147">
        <v>56</v>
      </c>
      <c r="U97" s="151">
        <v>11</v>
      </c>
      <c r="V97" s="148">
        <f t="shared" si="10"/>
        <v>186</v>
      </c>
      <c r="W97" s="152">
        <f t="shared" si="11"/>
        <v>282</v>
      </c>
      <c r="X97" s="140">
        <v>1</v>
      </c>
      <c r="Y97" s="138">
        <v>1</v>
      </c>
      <c r="Z97" s="138">
        <v>7</v>
      </c>
      <c r="AA97" s="143">
        <v>7</v>
      </c>
    </row>
    <row r="98" spans="2:27" ht="15" customHeight="1">
      <c r="B98" s="97" t="s">
        <v>138</v>
      </c>
      <c r="C98" s="20" t="s">
        <v>63</v>
      </c>
      <c r="D98" s="20"/>
      <c r="E98" s="33">
        <v>80</v>
      </c>
      <c r="F98" s="140">
        <v>2664</v>
      </c>
      <c r="G98" s="141">
        <v>5808</v>
      </c>
      <c r="H98" s="140">
        <v>720</v>
      </c>
      <c r="I98" s="138">
        <v>1618</v>
      </c>
      <c r="J98" s="138">
        <v>68</v>
      </c>
      <c r="K98" s="138">
        <v>240</v>
      </c>
      <c r="L98" s="71">
        <f t="shared" si="8"/>
        <v>788</v>
      </c>
      <c r="M98" s="88">
        <f t="shared" si="9"/>
        <v>1858</v>
      </c>
      <c r="N98" s="142">
        <v>125</v>
      </c>
      <c r="O98" s="138">
        <v>3</v>
      </c>
      <c r="P98" s="138">
        <v>392</v>
      </c>
      <c r="Q98" s="141">
        <v>521</v>
      </c>
      <c r="R98" s="140">
        <v>6487</v>
      </c>
      <c r="S98" s="143">
        <v>10665</v>
      </c>
      <c r="T98" s="147">
        <v>1206</v>
      </c>
      <c r="U98" s="151">
        <v>447</v>
      </c>
      <c r="V98" s="148">
        <f t="shared" si="10"/>
        <v>6143</v>
      </c>
      <c r="W98" s="152">
        <f t="shared" si="11"/>
        <v>11391</v>
      </c>
      <c r="X98" s="140">
        <v>92</v>
      </c>
      <c r="Y98" s="138">
        <v>93</v>
      </c>
      <c r="Z98" s="138">
        <v>618</v>
      </c>
      <c r="AA98" s="143">
        <v>619</v>
      </c>
    </row>
    <row r="99" spans="2:27" ht="15" customHeight="1">
      <c r="B99" s="97" t="s">
        <v>139</v>
      </c>
      <c r="C99" s="20">
        <v>1</v>
      </c>
      <c r="D99" s="20" t="s">
        <v>52</v>
      </c>
      <c r="E99" s="33">
        <v>81</v>
      </c>
      <c r="F99" s="140">
        <v>25</v>
      </c>
      <c r="G99" s="141">
        <v>40</v>
      </c>
      <c r="H99" s="140">
        <v>5</v>
      </c>
      <c r="I99" s="138">
        <v>7</v>
      </c>
      <c r="J99" s="138">
        <v>1</v>
      </c>
      <c r="K99" s="138">
        <v>1</v>
      </c>
      <c r="L99" s="71">
        <f t="shared" si="8"/>
        <v>6</v>
      </c>
      <c r="M99" s="88">
        <f t="shared" si="9"/>
        <v>8</v>
      </c>
      <c r="N99" s="142"/>
      <c r="O99" s="138"/>
      <c r="P99" s="138">
        <v>5</v>
      </c>
      <c r="Q99" s="141">
        <v>5</v>
      </c>
      <c r="R99" s="140">
        <v>210</v>
      </c>
      <c r="S99" s="143">
        <v>278</v>
      </c>
      <c r="T99" s="147">
        <v>44</v>
      </c>
      <c r="U99" s="151">
        <v>32</v>
      </c>
      <c r="V99" s="148">
        <f t="shared" si="10"/>
        <v>145</v>
      </c>
      <c r="W99" s="152">
        <f t="shared" si="11"/>
        <v>215</v>
      </c>
      <c r="X99" s="140">
        <v>1</v>
      </c>
      <c r="Y99" s="138">
        <v>1</v>
      </c>
      <c r="Z99" s="138">
        <v>5</v>
      </c>
      <c r="AA99" s="143">
        <v>5</v>
      </c>
    </row>
    <row r="100" spans="2:27" ht="15" customHeight="1">
      <c r="B100" s="97" t="s">
        <v>140</v>
      </c>
      <c r="C100" s="20">
        <v>1</v>
      </c>
      <c r="D100" s="20" t="s">
        <v>75</v>
      </c>
      <c r="E100" s="107">
        <v>82</v>
      </c>
      <c r="F100" s="140">
        <v>17</v>
      </c>
      <c r="G100" s="141">
        <v>28</v>
      </c>
      <c r="H100" s="140">
        <v>4</v>
      </c>
      <c r="I100" s="138">
        <v>9</v>
      </c>
      <c r="J100" s="138"/>
      <c r="K100" s="138"/>
      <c r="L100" s="71">
        <f t="shared" si="8"/>
        <v>4</v>
      </c>
      <c r="M100" s="88">
        <f t="shared" si="9"/>
        <v>9</v>
      </c>
      <c r="N100" s="142"/>
      <c r="O100" s="138"/>
      <c r="P100" s="138">
        <v>6</v>
      </c>
      <c r="Q100" s="141">
        <v>6</v>
      </c>
      <c r="R100" s="140">
        <v>101</v>
      </c>
      <c r="S100" s="143">
        <v>139</v>
      </c>
      <c r="T100" s="147">
        <v>18</v>
      </c>
      <c r="U100" s="151">
        <v>20</v>
      </c>
      <c r="V100" s="148">
        <f t="shared" si="10"/>
        <v>73</v>
      </c>
      <c r="W100" s="152">
        <f t="shared" si="11"/>
        <v>116</v>
      </c>
      <c r="X100" s="140">
        <v>2</v>
      </c>
      <c r="Y100" s="138">
        <v>2</v>
      </c>
      <c r="Z100" s="138">
        <v>8</v>
      </c>
      <c r="AA100" s="143">
        <v>8</v>
      </c>
    </row>
    <row r="101" spans="2:27" ht="15" customHeight="1">
      <c r="B101" s="97" t="s">
        <v>141</v>
      </c>
      <c r="C101" s="20"/>
      <c r="D101" s="20"/>
      <c r="E101" s="33">
        <v>83</v>
      </c>
      <c r="F101" s="140">
        <v>1334</v>
      </c>
      <c r="G101" s="141">
        <v>2373</v>
      </c>
      <c r="H101" s="140">
        <v>287</v>
      </c>
      <c r="I101" s="138">
        <v>579</v>
      </c>
      <c r="J101" s="138">
        <v>11</v>
      </c>
      <c r="K101" s="138">
        <v>45</v>
      </c>
      <c r="L101" s="71">
        <f t="shared" si="8"/>
        <v>298</v>
      </c>
      <c r="M101" s="88">
        <f t="shared" si="9"/>
        <v>624</v>
      </c>
      <c r="N101" s="142">
        <v>44</v>
      </c>
      <c r="O101" s="138">
        <v>1</v>
      </c>
      <c r="P101" s="138">
        <v>204</v>
      </c>
      <c r="Q101" s="141">
        <v>249</v>
      </c>
      <c r="R101" s="140">
        <v>3853</v>
      </c>
      <c r="S101" s="143">
        <v>5772</v>
      </c>
      <c r="T101" s="147">
        <v>818</v>
      </c>
      <c r="U101" s="151">
        <v>281</v>
      </c>
      <c r="V101" s="148">
        <f t="shared" si="10"/>
        <v>3301</v>
      </c>
      <c r="W101" s="152">
        <f t="shared" si="11"/>
        <v>5546</v>
      </c>
      <c r="X101" s="140">
        <v>97</v>
      </c>
      <c r="Y101" s="138">
        <v>97</v>
      </c>
      <c r="Z101" s="138">
        <v>455</v>
      </c>
      <c r="AA101" s="143">
        <v>455</v>
      </c>
    </row>
    <row r="102" spans="2:27" ht="15" customHeight="1">
      <c r="B102" s="97" t="s">
        <v>142</v>
      </c>
      <c r="C102" s="20" t="s">
        <v>63</v>
      </c>
      <c r="D102" s="20"/>
      <c r="E102" s="33">
        <v>84</v>
      </c>
      <c r="F102" s="140">
        <v>588</v>
      </c>
      <c r="G102" s="141">
        <v>1012</v>
      </c>
      <c r="H102" s="140">
        <v>113</v>
      </c>
      <c r="I102" s="138">
        <v>241</v>
      </c>
      <c r="J102" s="138">
        <v>5</v>
      </c>
      <c r="K102" s="138">
        <v>17</v>
      </c>
      <c r="L102" s="71">
        <f t="shared" si="8"/>
        <v>118</v>
      </c>
      <c r="M102" s="88">
        <f t="shared" si="9"/>
        <v>258</v>
      </c>
      <c r="N102" s="142">
        <v>29</v>
      </c>
      <c r="O102" s="138">
        <v>1</v>
      </c>
      <c r="P102" s="138">
        <v>80</v>
      </c>
      <c r="Q102" s="141">
        <v>110</v>
      </c>
      <c r="R102" s="140">
        <v>2385</v>
      </c>
      <c r="S102" s="143">
        <v>3548</v>
      </c>
      <c r="T102" s="147">
        <v>466</v>
      </c>
      <c r="U102" s="151">
        <v>257</v>
      </c>
      <c r="V102" s="148">
        <f t="shared" si="10"/>
        <v>1890</v>
      </c>
      <c r="W102" s="152">
        <f t="shared" si="11"/>
        <v>3193</v>
      </c>
      <c r="X102" s="140">
        <v>30</v>
      </c>
      <c r="Y102" s="138">
        <v>30</v>
      </c>
      <c r="Z102" s="138">
        <v>200</v>
      </c>
      <c r="AA102" s="143">
        <v>200</v>
      </c>
    </row>
    <row r="103" spans="2:27" ht="15" customHeight="1">
      <c r="B103" s="97" t="s">
        <v>143</v>
      </c>
      <c r="C103" s="20"/>
      <c r="D103" s="20"/>
      <c r="E103" s="107">
        <v>85</v>
      </c>
      <c r="F103" s="140">
        <v>45</v>
      </c>
      <c r="G103" s="141">
        <v>70</v>
      </c>
      <c r="H103" s="140">
        <v>13</v>
      </c>
      <c r="I103" s="138">
        <v>26</v>
      </c>
      <c r="J103" s="138"/>
      <c r="K103" s="138">
        <v>3</v>
      </c>
      <c r="L103" s="71">
        <f t="shared" si="8"/>
        <v>13</v>
      </c>
      <c r="M103" s="88">
        <f t="shared" si="9"/>
        <v>29</v>
      </c>
      <c r="N103" s="142">
        <v>5</v>
      </c>
      <c r="O103" s="138">
        <v>1</v>
      </c>
      <c r="P103" s="138">
        <v>29</v>
      </c>
      <c r="Q103" s="141">
        <v>35</v>
      </c>
      <c r="R103" s="140">
        <v>356</v>
      </c>
      <c r="S103" s="143">
        <v>597</v>
      </c>
      <c r="T103" s="147">
        <v>65</v>
      </c>
      <c r="U103" s="151">
        <v>46</v>
      </c>
      <c r="V103" s="148">
        <f t="shared" si="10"/>
        <v>293</v>
      </c>
      <c r="W103" s="152">
        <f t="shared" si="11"/>
        <v>550</v>
      </c>
      <c r="X103" s="140">
        <v>2</v>
      </c>
      <c r="Y103" s="138">
        <v>2</v>
      </c>
      <c r="Z103" s="138">
        <v>25</v>
      </c>
      <c r="AA103" s="143">
        <v>25</v>
      </c>
    </row>
    <row r="104" spans="2:27" ht="15" customHeight="1">
      <c r="B104" s="97" t="s">
        <v>144</v>
      </c>
      <c r="C104" s="20"/>
      <c r="D104" s="20"/>
      <c r="E104" s="33">
        <v>86</v>
      </c>
      <c r="F104" s="140">
        <v>201</v>
      </c>
      <c r="G104" s="141">
        <v>353</v>
      </c>
      <c r="H104" s="140">
        <v>46</v>
      </c>
      <c r="I104" s="138">
        <v>85</v>
      </c>
      <c r="J104" s="138">
        <v>3</v>
      </c>
      <c r="K104" s="138">
        <v>12</v>
      </c>
      <c r="L104" s="71">
        <f t="shared" si="8"/>
        <v>49</v>
      </c>
      <c r="M104" s="88">
        <f t="shared" si="9"/>
        <v>97</v>
      </c>
      <c r="N104" s="142">
        <v>14</v>
      </c>
      <c r="O104" s="138"/>
      <c r="P104" s="138">
        <v>91</v>
      </c>
      <c r="Q104" s="141">
        <v>106</v>
      </c>
      <c r="R104" s="140">
        <v>915</v>
      </c>
      <c r="S104" s="143">
        <v>1419</v>
      </c>
      <c r="T104" s="147">
        <v>184</v>
      </c>
      <c r="U104" s="151">
        <v>59</v>
      </c>
      <c r="V104" s="148">
        <f t="shared" si="10"/>
        <v>827</v>
      </c>
      <c r="W104" s="152">
        <f t="shared" si="11"/>
        <v>1379</v>
      </c>
      <c r="X104" s="140">
        <v>12</v>
      </c>
      <c r="Y104" s="138">
        <v>12</v>
      </c>
      <c r="Z104" s="138">
        <v>58</v>
      </c>
      <c r="AA104" s="143">
        <v>58</v>
      </c>
    </row>
    <row r="105" spans="2:27" ht="15" customHeight="1">
      <c r="B105" s="97" t="s">
        <v>145</v>
      </c>
      <c r="C105" s="20">
        <v>1</v>
      </c>
      <c r="D105" s="20" t="s">
        <v>52</v>
      </c>
      <c r="E105" s="33">
        <v>87</v>
      </c>
      <c r="F105" s="140">
        <v>9</v>
      </c>
      <c r="G105" s="141">
        <v>16</v>
      </c>
      <c r="H105" s="140">
        <v>1</v>
      </c>
      <c r="I105" s="138">
        <v>3</v>
      </c>
      <c r="J105" s="138"/>
      <c r="K105" s="138"/>
      <c r="L105" s="71">
        <f t="shared" si="8"/>
        <v>1</v>
      </c>
      <c r="M105" s="88">
        <f t="shared" si="9"/>
        <v>3</v>
      </c>
      <c r="N105" s="142"/>
      <c r="O105" s="138"/>
      <c r="P105" s="138">
        <v>2</v>
      </c>
      <c r="Q105" s="141">
        <v>2</v>
      </c>
      <c r="R105" s="140">
        <v>76</v>
      </c>
      <c r="S105" s="143">
        <v>140</v>
      </c>
      <c r="T105" s="147">
        <v>7</v>
      </c>
      <c r="U105" s="151">
        <v>8</v>
      </c>
      <c r="V105" s="148">
        <f t="shared" si="10"/>
        <v>64</v>
      </c>
      <c r="W105" s="152">
        <f t="shared" si="11"/>
        <v>130</v>
      </c>
      <c r="X105" s="140">
        <v>1</v>
      </c>
      <c r="Y105" s="138">
        <v>1</v>
      </c>
      <c r="Z105" s="138">
        <v>5</v>
      </c>
      <c r="AA105" s="143">
        <v>5</v>
      </c>
    </row>
    <row r="106" spans="2:27" ht="15" customHeight="1">
      <c r="B106" s="97" t="s">
        <v>146</v>
      </c>
      <c r="C106" s="20"/>
      <c r="D106" s="20"/>
      <c r="E106" s="107">
        <v>88</v>
      </c>
      <c r="F106" s="140">
        <v>603</v>
      </c>
      <c r="G106" s="141">
        <v>1236</v>
      </c>
      <c r="H106" s="140">
        <v>140</v>
      </c>
      <c r="I106" s="138">
        <v>286</v>
      </c>
      <c r="J106" s="138">
        <v>10</v>
      </c>
      <c r="K106" s="138">
        <v>35</v>
      </c>
      <c r="L106" s="71">
        <f t="shared" si="8"/>
        <v>150</v>
      </c>
      <c r="M106" s="88">
        <f t="shared" si="9"/>
        <v>321</v>
      </c>
      <c r="N106" s="142">
        <v>24</v>
      </c>
      <c r="O106" s="138"/>
      <c r="P106" s="138">
        <v>55</v>
      </c>
      <c r="Q106" s="141">
        <v>79</v>
      </c>
      <c r="R106" s="140">
        <v>2215</v>
      </c>
      <c r="S106" s="143">
        <v>3675</v>
      </c>
      <c r="T106" s="147">
        <v>386</v>
      </c>
      <c r="U106" s="151">
        <v>164</v>
      </c>
      <c r="V106" s="148">
        <f t="shared" si="10"/>
        <v>1894</v>
      </c>
      <c r="W106" s="152">
        <f t="shared" si="11"/>
        <v>3525</v>
      </c>
      <c r="X106" s="140">
        <v>35</v>
      </c>
      <c r="Y106" s="138">
        <v>35</v>
      </c>
      <c r="Z106" s="138">
        <v>139</v>
      </c>
      <c r="AA106" s="143">
        <v>139</v>
      </c>
    </row>
    <row r="107" spans="2:27" ht="15" customHeight="1">
      <c r="B107" s="97" t="s">
        <v>147</v>
      </c>
      <c r="C107" s="20" t="s">
        <v>63</v>
      </c>
      <c r="D107" s="20"/>
      <c r="E107" s="33">
        <v>89</v>
      </c>
      <c r="F107" s="140">
        <v>5064</v>
      </c>
      <c r="G107" s="141">
        <v>10409</v>
      </c>
      <c r="H107" s="140">
        <v>1262</v>
      </c>
      <c r="I107" s="138">
        <v>2792</v>
      </c>
      <c r="J107" s="138">
        <v>114</v>
      </c>
      <c r="K107" s="138">
        <v>427</v>
      </c>
      <c r="L107" s="71">
        <f t="shared" si="8"/>
        <v>1376</v>
      </c>
      <c r="M107" s="88">
        <f t="shared" si="9"/>
        <v>3219</v>
      </c>
      <c r="N107" s="142">
        <v>237</v>
      </c>
      <c r="O107" s="138">
        <v>1</v>
      </c>
      <c r="P107" s="138">
        <v>532</v>
      </c>
      <c r="Q107" s="141">
        <v>772</v>
      </c>
      <c r="R107" s="140">
        <v>9411</v>
      </c>
      <c r="S107" s="143">
        <v>15666</v>
      </c>
      <c r="T107" s="147">
        <v>1644</v>
      </c>
      <c r="U107" s="151">
        <v>423</v>
      </c>
      <c r="V107" s="148">
        <f t="shared" si="10"/>
        <v>9492</v>
      </c>
      <c r="W107" s="152">
        <f t="shared" si="11"/>
        <v>17590</v>
      </c>
      <c r="X107" s="140">
        <v>248</v>
      </c>
      <c r="Y107" s="138">
        <v>248</v>
      </c>
      <c r="Z107" s="138">
        <v>1338</v>
      </c>
      <c r="AA107" s="143">
        <v>1339</v>
      </c>
    </row>
    <row r="108" spans="2:27" ht="15" customHeight="1">
      <c r="B108" s="97" t="s">
        <v>148</v>
      </c>
      <c r="C108" s="20"/>
      <c r="D108" s="20"/>
      <c r="E108" s="33">
        <v>90</v>
      </c>
      <c r="F108" s="140">
        <v>28</v>
      </c>
      <c r="G108" s="141">
        <v>43</v>
      </c>
      <c r="H108" s="140">
        <v>3</v>
      </c>
      <c r="I108" s="138">
        <v>5</v>
      </c>
      <c r="J108" s="138"/>
      <c r="K108" s="138"/>
      <c r="L108" s="71">
        <f t="shared" si="8"/>
        <v>3</v>
      </c>
      <c r="M108" s="88">
        <f t="shared" si="9"/>
        <v>5</v>
      </c>
      <c r="N108" s="142">
        <v>3</v>
      </c>
      <c r="O108" s="138"/>
      <c r="P108" s="138">
        <v>5</v>
      </c>
      <c r="Q108" s="141">
        <v>9</v>
      </c>
      <c r="R108" s="140">
        <v>234</v>
      </c>
      <c r="S108" s="143">
        <v>296</v>
      </c>
      <c r="T108" s="147">
        <v>52</v>
      </c>
      <c r="U108" s="151">
        <v>28</v>
      </c>
      <c r="V108" s="148">
        <f t="shared" si="10"/>
        <v>166</v>
      </c>
      <c r="W108" s="152">
        <f t="shared" si="11"/>
        <v>230</v>
      </c>
      <c r="X108" s="140">
        <v>1</v>
      </c>
      <c r="Y108" s="138">
        <v>1</v>
      </c>
      <c r="Z108" s="138">
        <v>7</v>
      </c>
      <c r="AA108" s="143">
        <v>7</v>
      </c>
    </row>
    <row r="109" spans="2:27" ht="15" customHeight="1">
      <c r="B109" s="97" t="s">
        <v>149</v>
      </c>
      <c r="C109" s="20"/>
      <c r="D109" s="20"/>
      <c r="E109" s="107">
        <v>91</v>
      </c>
      <c r="F109" s="140">
        <v>34</v>
      </c>
      <c r="G109" s="141">
        <v>60</v>
      </c>
      <c r="H109" s="140">
        <v>9</v>
      </c>
      <c r="I109" s="138">
        <v>17</v>
      </c>
      <c r="J109" s="138">
        <v>1</v>
      </c>
      <c r="K109" s="138">
        <v>3</v>
      </c>
      <c r="L109" s="71">
        <f t="shared" si="8"/>
        <v>10</v>
      </c>
      <c r="M109" s="88">
        <f t="shared" si="9"/>
        <v>20</v>
      </c>
      <c r="N109" s="142">
        <v>1</v>
      </c>
      <c r="O109" s="138"/>
      <c r="P109" s="138">
        <v>5</v>
      </c>
      <c r="Q109" s="141">
        <v>6</v>
      </c>
      <c r="R109" s="140">
        <v>307</v>
      </c>
      <c r="S109" s="143">
        <v>586</v>
      </c>
      <c r="T109" s="147">
        <v>46</v>
      </c>
      <c r="U109" s="151">
        <v>19</v>
      </c>
      <c r="V109" s="148">
        <f t="shared" si="10"/>
        <v>258</v>
      </c>
      <c r="W109" s="152">
        <f t="shared" si="11"/>
        <v>547</v>
      </c>
      <c r="X109" s="140">
        <v>3</v>
      </c>
      <c r="Y109" s="138">
        <v>3</v>
      </c>
      <c r="Z109" s="138">
        <v>16</v>
      </c>
      <c r="AA109" s="143">
        <v>16</v>
      </c>
    </row>
    <row r="110" spans="2:27" ht="15" customHeight="1">
      <c r="B110" s="97" t="s">
        <v>150</v>
      </c>
      <c r="C110" s="20">
        <v>1</v>
      </c>
      <c r="D110" s="20" t="s">
        <v>52</v>
      </c>
      <c r="E110" s="33">
        <v>92</v>
      </c>
      <c r="F110" s="140">
        <v>25</v>
      </c>
      <c r="G110" s="141">
        <v>39</v>
      </c>
      <c r="H110" s="140">
        <v>6</v>
      </c>
      <c r="I110" s="138">
        <v>11</v>
      </c>
      <c r="J110" s="138"/>
      <c r="K110" s="138">
        <v>1</v>
      </c>
      <c r="L110" s="71">
        <f t="shared" si="8"/>
        <v>6</v>
      </c>
      <c r="M110" s="88">
        <f t="shared" si="9"/>
        <v>12</v>
      </c>
      <c r="N110" s="142"/>
      <c r="O110" s="138">
        <v>1</v>
      </c>
      <c r="P110" s="138">
        <v>12</v>
      </c>
      <c r="Q110" s="141">
        <v>14</v>
      </c>
      <c r="R110" s="140">
        <v>150</v>
      </c>
      <c r="S110" s="143">
        <v>249</v>
      </c>
      <c r="T110" s="147">
        <v>25</v>
      </c>
      <c r="U110" s="151">
        <v>11</v>
      </c>
      <c r="V110" s="148">
        <f t="shared" si="10"/>
        <v>134</v>
      </c>
      <c r="W110" s="152">
        <f t="shared" si="11"/>
        <v>239</v>
      </c>
      <c r="X110" s="140">
        <v>1</v>
      </c>
      <c r="Y110" s="138">
        <v>1</v>
      </c>
      <c r="Z110" s="138">
        <v>16</v>
      </c>
      <c r="AA110" s="143">
        <v>16</v>
      </c>
    </row>
    <row r="111" spans="2:27" ht="15" customHeight="1">
      <c r="B111" s="97" t="s">
        <v>151</v>
      </c>
      <c r="C111" s="20" t="s">
        <v>63</v>
      </c>
      <c r="D111" s="20"/>
      <c r="E111" s="33">
        <v>93</v>
      </c>
      <c r="F111" s="140">
        <v>12240</v>
      </c>
      <c r="G111" s="141">
        <v>23949</v>
      </c>
      <c r="H111" s="140">
        <v>3054</v>
      </c>
      <c r="I111" s="138">
        <v>6695</v>
      </c>
      <c r="J111" s="138">
        <v>118</v>
      </c>
      <c r="K111" s="138">
        <v>411</v>
      </c>
      <c r="L111" s="71">
        <f t="shared" si="8"/>
        <v>3172</v>
      </c>
      <c r="M111" s="88">
        <f t="shared" si="9"/>
        <v>7106</v>
      </c>
      <c r="N111" s="142">
        <v>438</v>
      </c>
      <c r="O111" s="138">
        <v>3</v>
      </c>
      <c r="P111" s="138">
        <v>931</v>
      </c>
      <c r="Q111" s="141">
        <v>1373</v>
      </c>
      <c r="R111" s="140">
        <v>18869</v>
      </c>
      <c r="S111" s="143">
        <v>30035</v>
      </c>
      <c r="T111" s="147">
        <v>3144</v>
      </c>
      <c r="U111" s="151">
        <v>721</v>
      </c>
      <c r="V111" s="148">
        <f t="shared" si="10"/>
        <v>19549</v>
      </c>
      <c r="W111" s="152">
        <f t="shared" si="11"/>
        <v>34649</v>
      </c>
      <c r="X111" s="140">
        <v>458</v>
      </c>
      <c r="Y111" s="138">
        <v>459</v>
      </c>
      <c r="Z111" s="138">
        <v>3662</v>
      </c>
      <c r="AA111" s="143">
        <v>3662</v>
      </c>
    </row>
    <row r="112" spans="2:27" ht="15" customHeight="1">
      <c r="B112" s="97" t="s">
        <v>152</v>
      </c>
      <c r="C112" s="20"/>
      <c r="D112" s="20"/>
      <c r="E112" s="33">
        <v>95</v>
      </c>
      <c r="F112" s="140">
        <v>1506</v>
      </c>
      <c r="G112" s="141">
        <v>3033</v>
      </c>
      <c r="H112" s="140">
        <v>341</v>
      </c>
      <c r="I112" s="138">
        <v>774</v>
      </c>
      <c r="J112" s="138">
        <v>23</v>
      </c>
      <c r="K112" s="138">
        <v>78</v>
      </c>
      <c r="L112" s="71">
        <f t="shared" si="8"/>
        <v>364</v>
      </c>
      <c r="M112" s="88">
        <f t="shared" si="9"/>
        <v>852</v>
      </c>
      <c r="N112" s="142">
        <v>63</v>
      </c>
      <c r="O112" s="138">
        <v>1</v>
      </c>
      <c r="P112" s="138">
        <v>210</v>
      </c>
      <c r="Q112" s="141">
        <v>275</v>
      </c>
      <c r="R112" s="140">
        <v>3495</v>
      </c>
      <c r="S112" s="143">
        <v>5844</v>
      </c>
      <c r="T112" s="147">
        <v>661</v>
      </c>
      <c r="U112" s="151">
        <v>131</v>
      </c>
      <c r="V112" s="148">
        <f t="shared" si="10"/>
        <v>3342</v>
      </c>
      <c r="W112" s="152">
        <f t="shared" si="11"/>
        <v>6179</v>
      </c>
      <c r="X112" s="140">
        <v>66</v>
      </c>
      <c r="Y112" s="138">
        <v>67</v>
      </c>
      <c r="Z112" s="138">
        <v>398</v>
      </c>
      <c r="AA112" s="143">
        <v>398</v>
      </c>
    </row>
    <row r="113" spans="2:27" ht="15" customHeight="1">
      <c r="B113" s="97" t="s">
        <v>153</v>
      </c>
      <c r="C113" s="20"/>
      <c r="D113" s="20"/>
      <c r="E113" s="33">
        <v>96</v>
      </c>
      <c r="F113" s="140">
        <v>239</v>
      </c>
      <c r="G113" s="141">
        <v>384</v>
      </c>
      <c r="H113" s="140">
        <v>37</v>
      </c>
      <c r="I113" s="138">
        <v>71</v>
      </c>
      <c r="J113" s="138">
        <v>3</v>
      </c>
      <c r="K113" s="138">
        <v>11</v>
      </c>
      <c r="L113" s="71">
        <f t="shared" si="8"/>
        <v>40</v>
      </c>
      <c r="M113" s="88">
        <f t="shared" si="9"/>
        <v>82</v>
      </c>
      <c r="N113" s="142">
        <v>21</v>
      </c>
      <c r="O113" s="138"/>
      <c r="P113" s="138">
        <v>47</v>
      </c>
      <c r="Q113" s="141">
        <v>68</v>
      </c>
      <c r="R113" s="140">
        <v>1403</v>
      </c>
      <c r="S113" s="143">
        <v>2070</v>
      </c>
      <c r="T113" s="147">
        <v>270</v>
      </c>
      <c r="U113" s="151">
        <v>162</v>
      </c>
      <c r="V113" s="148">
        <f t="shared" si="10"/>
        <v>1079</v>
      </c>
      <c r="W113" s="152">
        <f t="shared" si="11"/>
        <v>1788</v>
      </c>
      <c r="X113" s="140">
        <v>17</v>
      </c>
      <c r="Y113" s="138">
        <v>17</v>
      </c>
      <c r="Z113" s="138">
        <v>84</v>
      </c>
      <c r="AA113" s="143">
        <v>84</v>
      </c>
    </row>
    <row r="114" spans="2:27" ht="15" customHeight="1">
      <c r="B114" s="97" t="s">
        <v>154</v>
      </c>
      <c r="C114" s="20"/>
      <c r="D114" s="20"/>
      <c r="E114" s="107">
        <v>94</v>
      </c>
      <c r="F114" s="140">
        <v>258</v>
      </c>
      <c r="G114" s="141">
        <v>419</v>
      </c>
      <c r="H114" s="140">
        <v>42</v>
      </c>
      <c r="I114" s="138">
        <v>85</v>
      </c>
      <c r="J114" s="138">
        <v>2</v>
      </c>
      <c r="K114" s="138">
        <v>10</v>
      </c>
      <c r="L114" s="71">
        <f t="shared" si="8"/>
        <v>44</v>
      </c>
      <c r="M114" s="88">
        <f t="shared" si="9"/>
        <v>95</v>
      </c>
      <c r="N114" s="142">
        <v>27</v>
      </c>
      <c r="O114" s="138">
        <v>3</v>
      </c>
      <c r="P114" s="138">
        <v>31</v>
      </c>
      <c r="Q114" s="141">
        <v>63</v>
      </c>
      <c r="R114" s="140">
        <v>1533</v>
      </c>
      <c r="S114" s="143">
        <v>2159</v>
      </c>
      <c r="T114" s="147">
        <v>317</v>
      </c>
      <c r="U114" s="151">
        <v>152</v>
      </c>
      <c r="V114" s="148">
        <f t="shared" si="10"/>
        <v>1171</v>
      </c>
      <c r="W114" s="152">
        <f t="shared" si="11"/>
        <v>1848</v>
      </c>
      <c r="X114" s="140">
        <v>19</v>
      </c>
      <c r="Y114" s="138">
        <v>19</v>
      </c>
      <c r="Z114" s="138">
        <v>104</v>
      </c>
      <c r="AA114" s="143">
        <v>104</v>
      </c>
    </row>
    <row r="115" spans="2:27" ht="15" customHeight="1">
      <c r="B115" s="97" t="s">
        <v>155</v>
      </c>
      <c r="C115" s="20"/>
      <c r="D115" s="20"/>
      <c r="E115" s="107">
        <v>97</v>
      </c>
      <c r="F115" s="140">
        <v>75</v>
      </c>
      <c r="G115" s="141">
        <v>106</v>
      </c>
      <c r="H115" s="140">
        <v>14</v>
      </c>
      <c r="I115" s="138">
        <v>23</v>
      </c>
      <c r="J115" s="138"/>
      <c r="K115" s="138">
        <v>1</v>
      </c>
      <c r="L115" s="71">
        <f aca="true" t="shared" si="12" ref="L115:L146">SUM(H115,J115)</f>
        <v>14</v>
      </c>
      <c r="M115" s="88">
        <f aca="true" t="shared" si="13" ref="M115:M146">SUM(I115,K115)</f>
        <v>24</v>
      </c>
      <c r="N115" s="142">
        <v>4</v>
      </c>
      <c r="O115" s="138"/>
      <c r="P115" s="138">
        <v>9</v>
      </c>
      <c r="Q115" s="141">
        <v>12</v>
      </c>
      <c r="R115" s="140">
        <v>617</v>
      </c>
      <c r="S115" s="143">
        <v>940</v>
      </c>
      <c r="T115" s="147">
        <v>105</v>
      </c>
      <c r="U115" s="151">
        <v>68</v>
      </c>
      <c r="V115" s="148">
        <f aca="true" t="shared" si="14" ref="V115:V146">SUM(L115+Q115+R115-T115-U115)</f>
        <v>470</v>
      </c>
      <c r="W115" s="152">
        <f aca="true" t="shared" si="15" ref="W115:W146">SUM(M115+Q115+S115-T115-U115)</f>
        <v>803</v>
      </c>
      <c r="X115" s="140">
        <v>5</v>
      </c>
      <c r="Y115" s="138">
        <v>5</v>
      </c>
      <c r="Z115" s="138">
        <v>62</v>
      </c>
      <c r="AA115" s="143">
        <v>62</v>
      </c>
    </row>
    <row r="116" spans="2:27" ht="15" customHeight="1">
      <c r="B116" s="97" t="s">
        <v>156</v>
      </c>
      <c r="C116" s="20">
        <v>1</v>
      </c>
      <c r="D116" s="20" t="s">
        <v>52</v>
      </c>
      <c r="E116" s="33">
        <v>98</v>
      </c>
      <c r="F116" s="140">
        <v>8</v>
      </c>
      <c r="G116" s="141">
        <v>12</v>
      </c>
      <c r="H116" s="140">
        <v>2</v>
      </c>
      <c r="I116" s="138">
        <v>6</v>
      </c>
      <c r="J116" s="138"/>
      <c r="K116" s="138"/>
      <c r="L116" s="71">
        <f t="shared" si="12"/>
        <v>2</v>
      </c>
      <c r="M116" s="88">
        <f t="shared" si="13"/>
        <v>6</v>
      </c>
      <c r="N116" s="142">
        <v>1</v>
      </c>
      <c r="O116" s="138"/>
      <c r="P116" s="138">
        <v>12</v>
      </c>
      <c r="Q116" s="141">
        <v>13</v>
      </c>
      <c r="R116" s="140">
        <v>66</v>
      </c>
      <c r="S116" s="143">
        <v>124</v>
      </c>
      <c r="T116" s="147">
        <v>13</v>
      </c>
      <c r="U116" s="151">
        <v>5</v>
      </c>
      <c r="V116" s="148">
        <f t="shared" si="14"/>
        <v>63</v>
      </c>
      <c r="W116" s="152">
        <f t="shared" si="15"/>
        <v>125</v>
      </c>
      <c r="X116" s="140"/>
      <c r="Y116" s="138"/>
      <c r="Z116" s="138">
        <v>5</v>
      </c>
      <c r="AA116" s="143">
        <v>5</v>
      </c>
    </row>
    <row r="117" spans="2:27" ht="15" customHeight="1">
      <c r="B117" s="97" t="s">
        <v>157</v>
      </c>
      <c r="C117" s="20"/>
      <c r="D117" s="20"/>
      <c r="E117" s="33">
        <v>99</v>
      </c>
      <c r="F117" s="140">
        <v>80</v>
      </c>
      <c r="G117" s="141">
        <v>132</v>
      </c>
      <c r="H117" s="140">
        <v>25</v>
      </c>
      <c r="I117" s="138">
        <v>42</v>
      </c>
      <c r="J117" s="138">
        <v>1</v>
      </c>
      <c r="K117" s="138">
        <v>4</v>
      </c>
      <c r="L117" s="71">
        <f t="shared" si="12"/>
        <v>26</v>
      </c>
      <c r="M117" s="88">
        <f t="shared" si="13"/>
        <v>46</v>
      </c>
      <c r="N117" s="142">
        <v>4</v>
      </c>
      <c r="O117" s="138"/>
      <c r="P117" s="138">
        <v>14</v>
      </c>
      <c r="Q117" s="141">
        <v>19</v>
      </c>
      <c r="R117" s="140">
        <v>394</v>
      </c>
      <c r="S117" s="143">
        <v>618</v>
      </c>
      <c r="T117" s="147">
        <v>60</v>
      </c>
      <c r="U117" s="151">
        <v>52</v>
      </c>
      <c r="V117" s="148">
        <f t="shared" si="14"/>
        <v>327</v>
      </c>
      <c r="W117" s="152">
        <f t="shared" si="15"/>
        <v>571</v>
      </c>
      <c r="X117" s="140">
        <v>3</v>
      </c>
      <c r="Y117" s="138">
        <v>3</v>
      </c>
      <c r="Z117" s="138">
        <v>38</v>
      </c>
      <c r="AA117" s="143">
        <v>38</v>
      </c>
    </row>
    <row r="118" spans="2:27" ht="15" customHeight="1">
      <c r="B118" s="97" t="s">
        <v>158</v>
      </c>
      <c r="C118" s="20">
        <v>1</v>
      </c>
      <c r="D118" s="20" t="s">
        <v>52</v>
      </c>
      <c r="E118" s="107">
        <v>100</v>
      </c>
      <c r="F118" s="140">
        <v>31</v>
      </c>
      <c r="G118" s="141">
        <v>60</v>
      </c>
      <c r="H118" s="140">
        <v>8</v>
      </c>
      <c r="I118" s="138">
        <v>14</v>
      </c>
      <c r="J118" s="138"/>
      <c r="K118" s="138"/>
      <c r="L118" s="71">
        <f t="shared" si="12"/>
        <v>8</v>
      </c>
      <c r="M118" s="88">
        <f t="shared" si="13"/>
        <v>14</v>
      </c>
      <c r="N118" s="142"/>
      <c r="O118" s="138"/>
      <c r="P118" s="138">
        <v>5</v>
      </c>
      <c r="Q118" s="141">
        <v>5</v>
      </c>
      <c r="R118" s="140">
        <v>225</v>
      </c>
      <c r="S118" s="143">
        <v>364</v>
      </c>
      <c r="T118" s="147">
        <v>46</v>
      </c>
      <c r="U118" s="151">
        <v>15</v>
      </c>
      <c r="V118" s="148">
        <f t="shared" si="14"/>
        <v>177</v>
      </c>
      <c r="W118" s="152">
        <f t="shared" si="15"/>
        <v>322</v>
      </c>
      <c r="X118" s="140"/>
      <c r="Y118" s="138"/>
      <c r="Z118" s="138">
        <v>8</v>
      </c>
      <c r="AA118" s="143">
        <v>8</v>
      </c>
    </row>
    <row r="119" spans="2:27" ht="15" customHeight="1">
      <c r="B119" s="97" t="s">
        <v>159</v>
      </c>
      <c r="C119" s="20"/>
      <c r="D119" s="20"/>
      <c r="E119" s="33">
        <v>101</v>
      </c>
      <c r="F119" s="140">
        <v>142</v>
      </c>
      <c r="G119" s="141">
        <v>224</v>
      </c>
      <c r="H119" s="140">
        <v>40</v>
      </c>
      <c r="I119" s="138">
        <v>68</v>
      </c>
      <c r="J119" s="138"/>
      <c r="K119" s="138">
        <v>3</v>
      </c>
      <c r="L119" s="71">
        <f t="shared" si="12"/>
        <v>40</v>
      </c>
      <c r="M119" s="88">
        <f t="shared" si="13"/>
        <v>71</v>
      </c>
      <c r="N119" s="142">
        <v>15</v>
      </c>
      <c r="O119" s="138"/>
      <c r="P119" s="138">
        <v>46</v>
      </c>
      <c r="Q119" s="141">
        <v>61</v>
      </c>
      <c r="R119" s="140">
        <v>935</v>
      </c>
      <c r="S119" s="143">
        <v>1274</v>
      </c>
      <c r="T119" s="147">
        <v>213</v>
      </c>
      <c r="U119" s="151">
        <v>104</v>
      </c>
      <c r="V119" s="148">
        <f t="shared" si="14"/>
        <v>719</v>
      </c>
      <c r="W119" s="152">
        <f t="shared" si="15"/>
        <v>1089</v>
      </c>
      <c r="X119" s="140">
        <v>6</v>
      </c>
      <c r="Y119" s="138">
        <v>6</v>
      </c>
      <c r="Z119" s="138">
        <v>60</v>
      </c>
      <c r="AA119" s="143">
        <v>60</v>
      </c>
    </row>
    <row r="120" spans="2:27" ht="15" customHeight="1">
      <c r="B120" s="97" t="s">
        <v>160</v>
      </c>
      <c r="C120" s="20">
        <v>1</v>
      </c>
      <c r="D120" s="20" t="s">
        <v>47</v>
      </c>
      <c r="E120" s="33">
        <v>102</v>
      </c>
      <c r="F120" s="140">
        <v>26</v>
      </c>
      <c r="G120" s="141">
        <v>53</v>
      </c>
      <c r="H120" s="140">
        <v>5</v>
      </c>
      <c r="I120" s="138">
        <v>11</v>
      </c>
      <c r="J120" s="138"/>
      <c r="K120" s="138">
        <v>1</v>
      </c>
      <c r="L120" s="71">
        <f t="shared" si="12"/>
        <v>5</v>
      </c>
      <c r="M120" s="88">
        <f t="shared" si="13"/>
        <v>12</v>
      </c>
      <c r="N120" s="142"/>
      <c r="O120" s="138">
        <v>1</v>
      </c>
      <c r="P120" s="138">
        <v>8</v>
      </c>
      <c r="Q120" s="141">
        <v>9</v>
      </c>
      <c r="R120" s="140">
        <v>187</v>
      </c>
      <c r="S120" s="143">
        <v>313</v>
      </c>
      <c r="T120" s="147">
        <v>19</v>
      </c>
      <c r="U120" s="151">
        <v>12</v>
      </c>
      <c r="V120" s="148">
        <f t="shared" si="14"/>
        <v>170</v>
      </c>
      <c r="W120" s="152">
        <f t="shared" si="15"/>
        <v>303</v>
      </c>
      <c r="X120" s="140">
        <v>1</v>
      </c>
      <c r="Y120" s="138">
        <v>1</v>
      </c>
      <c r="Z120" s="138">
        <v>16</v>
      </c>
      <c r="AA120" s="143">
        <v>16</v>
      </c>
    </row>
    <row r="121" spans="2:27" ht="15" customHeight="1">
      <c r="B121" s="97" t="s">
        <v>161</v>
      </c>
      <c r="C121" s="20" t="s">
        <v>63</v>
      </c>
      <c r="D121" s="20"/>
      <c r="E121" s="107">
        <v>103</v>
      </c>
      <c r="F121" s="140">
        <v>1526</v>
      </c>
      <c r="G121" s="141">
        <v>2823</v>
      </c>
      <c r="H121" s="140">
        <v>386</v>
      </c>
      <c r="I121" s="138">
        <v>774</v>
      </c>
      <c r="J121" s="138">
        <v>25</v>
      </c>
      <c r="K121" s="138">
        <v>72</v>
      </c>
      <c r="L121" s="71">
        <f t="shared" si="12"/>
        <v>411</v>
      </c>
      <c r="M121" s="88">
        <f t="shared" si="13"/>
        <v>846</v>
      </c>
      <c r="N121" s="142">
        <v>89</v>
      </c>
      <c r="O121" s="138">
        <v>2</v>
      </c>
      <c r="P121" s="138">
        <v>216</v>
      </c>
      <c r="Q121" s="141">
        <v>308</v>
      </c>
      <c r="R121" s="140">
        <v>5420</v>
      </c>
      <c r="S121" s="143">
        <v>8156</v>
      </c>
      <c r="T121" s="147">
        <v>1069</v>
      </c>
      <c r="U121" s="151">
        <v>307</v>
      </c>
      <c r="V121" s="148">
        <f t="shared" si="14"/>
        <v>4763</v>
      </c>
      <c r="W121" s="152">
        <f t="shared" si="15"/>
        <v>7934</v>
      </c>
      <c r="X121" s="140">
        <v>98</v>
      </c>
      <c r="Y121" s="138">
        <v>98</v>
      </c>
      <c r="Z121" s="138">
        <v>499</v>
      </c>
      <c r="AA121" s="143">
        <v>499</v>
      </c>
    </row>
    <row r="122" spans="2:27" ht="15" customHeight="1">
      <c r="B122" s="97" t="s">
        <v>162</v>
      </c>
      <c r="C122" s="20"/>
      <c r="D122" s="20"/>
      <c r="E122" s="33">
        <v>104</v>
      </c>
      <c r="F122" s="140">
        <v>1707</v>
      </c>
      <c r="G122" s="141">
        <v>3302</v>
      </c>
      <c r="H122" s="140">
        <v>334</v>
      </c>
      <c r="I122" s="138">
        <v>726</v>
      </c>
      <c r="J122" s="138">
        <v>27</v>
      </c>
      <c r="K122" s="138">
        <v>107</v>
      </c>
      <c r="L122" s="71">
        <f t="shared" si="12"/>
        <v>361</v>
      </c>
      <c r="M122" s="88">
        <f t="shared" si="13"/>
        <v>833</v>
      </c>
      <c r="N122" s="142">
        <v>83</v>
      </c>
      <c r="O122" s="138">
        <v>1</v>
      </c>
      <c r="P122" s="138">
        <v>282</v>
      </c>
      <c r="Q122" s="141">
        <v>366</v>
      </c>
      <c r="R122" s="140">
        <v>4206</v>
      </c>
      <c r="S122" s="143">
        <v>6764</v>
      </c>
      <c r="T122" s="147">
        <v>856</v>
      </c>
      <c r="U122" s="151">
        <v>237</v>
      </c>
      <c r="V122" s="148">
        <f t="shared" si="14"/>
        <v>3840</v>
      </c>
      <c r="W122" s="152">
        <f t="shared" si="15"/>
        <v>6870</v>
      </c>
      <c r="X122" s="140">
        <v>67</v>
      </c>
      <c r="Y122" s="138">
        <v>67</v>
      </c>
      <c r="Z122" s="138">
        <v>354</v>
      </c>
      <c r="AA122" s="143">
        <v>354</v>
      </c>
    </row>
    <row r="123" spans="2:27" ht="15" customHeight="1">
      <c r="B123" s="97" t="s">
        <v>163</v>
      </c>
      <c r="C123" s="20"/>
      <c r="D123" s="20"/>
      <c r="E123" s="33">
        <v>105</v>
      </c>
      <c r="F123" s="140">
        <v>23</v>
      </c>
      <c r="G123" s="141">
        <v>34</v>
      </c>
      <c r="H123" s="140">
        <v>3</v>
      </c>
      <c r="I123" s="138">
        <v>7</v>
      </c>
      <c r="J123" s="138"/>
      <c r="K123" s="138"/>
      <c r="L123" s="71">
        <f t="shared" si="12"/>
        <v>3</v>
      </c>
      <c r="M123" s="88">
        <f t="shared" si="13"/>
        <v>7</v>
      </c>
      <c r="N123" s="142">
        <v>2</v>
      </c>
      <c r="O123" s="138">
        <v>1</v>
      </c>
      <c r="P123" s="138">
        <v>12</v>
      </c>
      <c r="Q123" s="141">
        <v>15</v>
      </c>
      <c r="R123" s="140">
        <v>168</v>
      </c>
      <c r="S123" s="143">
        <v>278</v>
      </c>
      <c r="T123" s="147">
        <v>36</v>
      </c>
      <c r="U123" s="151">
        <v>22</v>
      </c>
      <c r="V123" s="148">
        <f t="shared" si="14"/>
        <v>128</v>
      </c>
      <c r="W123" s="152">
        <f t="shared" si="15"/>
        <v>242</v>
      </c>
      <c r="X123" s="140">
        <v>2</v>
      </c>
      <c r="Y123" s="138">
        <v>2</v>
      </c>
      <c r="Z123" s="138">
        <v>12</v>
      </c>
      <c r="AA123" s="143">
        <v>12</v>
      </c>
    </row>
    <row r="124" spans="2:27" ht="15" customHeight="1">
      <c r="B124" s="97" t="s">
        <v>204</v>
      </c>
      <c r="C124" s="20"/>
      <c r="D124" s="20"/>
      <c r="E124" s="107">
        <v>106</v>
      </c>
      <c r="F124" s="140">
        <v>61</v>
      </c>
      <c r="G124" s="141">
        <v>101</v>
      </c>
      <c r="H124" s="140">
        <v>13</v>
      </c>
      <c r="I124" s="138">
        <v>32</v>
      </c>
      <c r="J124" s="138">
        <v>1</v>
      </c>
      <c r="K124" s="138">
        <v>2</v>
      </c>
      <c r="L124" s="71">
        <f t="shared" si="12"/>
        <v>14</v>
      </c>
      <c r="M124" s="88">
        <f t="shared" si="13"/>
        <v>34</v>
      </c>
      <c r="N124" s="142">
        <v>5</v>
      </c>
      <c r="O124" s="138"/>
      <c r="P124" s="138">
        <v>17</v>
      </c>
      <c r="Q124" s="141">
        <v>23</v>
      </c>
      <c r="R124" s="140">
        <v>550</v>
      </c>
      <c r="S124" s="143">
        <v>761</v>
      </c>
      <c r="T124" s="147">
        <v>110</v>
      </c>
      <c r="U124" s="151">
        <v>50</v>
      </c>
      <c r="V124" s="148">
        <f t="shared" si="14"/>
        <v>427</v>
      </c>
      <c r="W124" s="152">
        <f t="shared" si="15"/>
        <v>658</v>
      </c>
      <c r="X124" s="140">
        <v>6</v>
      </c>
      <c r="Y124" s="138">
        <v>6</v>
      </c>
      <c r="Z124" s="138">
        <v>23</v>
      </c>
      <c r="AA124" s="143">
        <v>23</v>
      </c>
    </row>
    <row r="125" spans="2:27" ht="15" customHeight="1">
      <c r="B125" s="97" t="s">
        <v>205</v>
      </c>
      <c r="C125" s="20"/>
      <c r="D125" s="20"/>
      <c r="E125" s="33">
        <v>107</v>
      </c>
      <c r="F125" s="140">
        <v>42</v>
      </c>
      <c r="G125" s="141">
        <v>56</v>
      </c>
      <c r="H125" s="140">
        <v>8</v>
      </c>
      <c r="I125" s="138">
        <v>8</v>
      </c>
      <c r="J125" s="138"/>
      <c r="K125" s="138">
        <v>2</v>
      </c>
      <c r="L125" s="71">
        <f t="shared" si="12"/>
        <v>8</v>
      </c>
      <c r="M125" s="88">
        <f t="shared" si="13"/>
        <v>10</v>
      </c>
      <c r="N125" s="142">
        <v>6</v>
      </c>
      <c r="O125" s="138"/>
      <c r="P125" s="138">
        <v>20</v>
      </c>
      <c r="Q125" s="141">
        <v>26</v>
      </c>
      <c r="R125" s="140">
        <v>307</v>
      </c>
      <c r="S125" s="143">
        <v>420</v>
      </c>
      <c r="T125" s="147">
        <v>66</v>
      </c>
      <c r="U125" s="151">
        <v>36</v>
      </c>
      <c r="V125" s="148">
        <f t="shared" si="14"/>
        <v>239</v>
      </c>
      <c r="W125" s="152">
        <f t="shared" si="15"/>
        <v>354</v>
      </c>
      <c r="X125" s="140">
        <v>2</v>
      </c>
      <c r="Y125" s="138">
        <v>2</v>
      </c>
      <c r="Z125" s="138">
        <v>25</v>
      </c>
      <c r="AA125" s="143">
        <v>25</v>
      </c>
    </row>
    <row r="126" spans="2:27" ht="15" customHeight="1">
      <c r="B126" s="97" t="s">
        <v>206</v>
      </c>
      <c r="C126" s="20"/>
      <c r="D126" s="20"/>
      <c r="E126" s="33">
        <v>108</v>
      </c>
      <c r="F126" s="140">
        <v>39</v>
      </c>
      <c r="G126" s="141">
        <v>75</v>
      </c>
      <c r="H126" s="140">
        <v>5</v>
      </c>
      <c r="I126" s="138">
        <v>9</v>
      </c>
      <c r="J126" s="138"/>
      <c r="K126" s="138">
        <v>3</v>
      </c>
      <c r="L126" s="71">
        <f t="shared" si="12"/>
        <v>5</v>
      </c>
      <c r="M126" s="88">
        <f t="shared" si="13"/>
        <v>12</v>
      </c>
      <c r="N126" s="142">
        <v>1</v>
      </c>
      <c r="O126" s="138"/>
      <c r="P126" s="138">
        <v>12</v>
      </c>
      <c r="Q126" s="141">
        <v>13</v>
      </c>
      <c r="R126" s="140">
        <v>247</v>
      </c>
      <c r="S126" s="143">
        <v>478</v>
      </c>
      <c r="T126" s="147">
        <v>29</v>
      </c>
      <c r="U126" s="151">
        <v>26</v>
      </c>
      <c r="V126" s="148">
        <f t="shared" si="14"/>
        <v>210</v>
      </c>
      <c r="W126" s="152">
        <f t="shared" si="15"/>
        <v>448</v>
      </c>
      <c r="X126" s="140">
        <v>5</v>
      </c>
      <c r="Y126" s="138">
        <v>5</v>
      </c>
      <c r="Z126" s="138">
        <v>18</v>
      </c>
      <c r="AA126" s="143">
        <v>18</v>
      </c>
    </row>
    <row r="127" spans="2:27" ht="15" customHeight="1">
      <c r="B127" s="97" t="s">
        <v>207</v>
      </c>
      <c r="C127" s="20">
        <v>1</v>
      </c>
      <c r="D127" s="20" t="s">
        <v>47</v>
      </c>
      <c r="E127" s="107">
        <v>109</v>
      </c>
      <c r="F127" s="140">
        <v>346</v>
      </c>
      <c r="G127" s="141">
        <v>720</v>
      </c>
      <c r="H127" s="140">
        <v>71</v>
      </c>
      <c r="I127" s="138">
        <v>147</v>
      </c>
      <c r="J127" s="138">
        <v>7</v>
      </c>
      <c r="K127" s="138">
        <v>23</v>
      </c>
      <c r="L127" s="71">
        <f t="shared" si="12"/>
        <v>78</v>
      </c>
      <c r="M127" s="88">
        <f t="shared" si="13"/>
        <v>170</v>
      </c>
      <c r="N127" s="142">
        <v>6</v>
      </c>
      <c r="O127" s="138"/>
      <c r="P127" s="138">
        <v>61</v>
      </c>
      <c r="Q127" s="141">
        <v>69</v>
      </c>
      <c r="R127" s="140">
        <v>1389</v>
      </c>
      <c r="S127" s="143">
        <v>2242</v>
      </c>
      <c r="T127" s="147">
        <v>261</v>
      </c>
      <c r="U127" s="151">
        <v>120</v>
      </c>
      <c r="V127" s="148">
        <f t="shared" si="14"/>
        <v>1155</v>
      </c>
      <c r="W127" s="152">
        <f t="shared" si="15"/>
        <v>2100</v>
      </c>
      <c r="X127" s="140">
        <v>14</v>
      </c>
      <c r="Y127" s="138">
        <v>14</v>
      </c>
      <c r="Z127" s="138">
        <v>83</v>
      </c>
      <c r="AA127" s="143">
        <v>83</v>
      </c>
    </row>
    <row r="128" spans="2:27" ht="15" customHeight="1">
      <c r="B128" s="97" t="s">
        <v>208</v>
      </c>
      <c r="C128" s="20"/>
      <c r="D128" s="20"/>
      <c r="E128" s="33">
        <v>110</v>
      </c>
      <c r="F128" s="140">
        <v>280</v>
      </c>
      <c r="G128" s="141">
        <v>450</v>
      </c>
      <c r="H128" s="140">
        <v>49</v>
      </c>
      <c r="I128" s="138">
        <v>102</v>
      </c>
      <c r="J128" s="138">
        <v>3</v>
      </c>
      <c r="K128" s="138">
        <v>13</v>
      </c>
      <c r="L128" s="71">
        <f t="shared" si="12"/>
        <v>52</v>
      </c>
      <c r="M128" s="88">
        <f t="shared" si="13"/>
        <v>115</v>
      </c>
      <c r="N128" s="142">
        <v>16</v>
      </c>
      <c r="O128" s="138"/>
      <c r="P128" s="138">
        <v>57</v>
      </c>
      <c r="Q128" s="141">
        <v>74</v>
      </c>
      <c r="R128" s="140">
        <v>1028</v>
      </c>
      <c r="S128" s="143">
        <v>1445</v>
      </c>
      <c r="T128" s="147">
        <v>218</v>
      </c>
      <c r="U128" s="151">
        <v>81</v>
      </c>
      <c r="V128" s="148">
        <f t="shared" si="14"/>
        <v>855</v>
      </c>
      <c r="W128" s="152">
        <f t="shared" si="15"/>
        <v>1335</v>
      </c>
      <c r="X128" s="140">
        <v>20</v>
      </c>
      <c r="Y128" s="138">
        <v>20</v>
      </c>
      <c r="Z128" s="138">
        <v>98</v>
      </c>
      <c r="AA128" s="143">
        <v>98</v>
      </c>
    </row>
    <row r="129" spans="2:27" ht="15" customHeight="1">
      <c r="B129" s="97" t="s">
        <v>209</v>
      </c>
      <c r="C129" s="20">
        <v>1</v>
      </c>
      <c r="D129" s="20" t="s">
        <v>52</v>
      </c>
      <c r="E129" s="33">
        <v>111</v>
      </c>
      <c r="F129" s="140">
        <v>167</v>
      </c>
      <c r="G129" s="141">
        <v>323</v>
      </c>
      <c r="H129" s="140">
        <v>43</v>
      </c>
      <c r="I129" s="138">
        <v>88</v>
      </c>
      <c r="J129" s="138">
        <v>4</v>
      </c>
      <c r="K129" s="138">
        <v>15</v>
      </c>
      <c r="L129" s="71">
        <f t="shared" si="12"/>
        <v>47</v>
      </c>
      <c r="M129" s="88">
        <f t="shared" si="13"/>
        <v>103</v>
      </c>
      <c r="N129" s="142">
        <v>13</v>
      </c>
      <c r="O129" s="138"/>
      <c r="P129" s="138">
        <v>17</v>
      </c>
      <c r="Q129" s="141">
        <v>31</v>
      </c>
      <c r="R129" s="140">
        <v>669</v>
      </c>
      <c r="S129" s="143">
        <v>1174</v>
      </c>
      <c r="T129" s="147">
        <v>110</v>
      </c>
      <c r="U129" s="151">
        <v>40</v>
      </c>
      <c r="V129" s="148">
        <f t="shared" si="14"/>
        <v>597</v>
      </c>
      <c r="W129" s="152">
        <f t="shared" si="15"/>
        <v>1158</v>
      </c>
      <c r="X129" s="140">
        <v>5</v>
      </c>
      <c r="Y129" s="138">
        <v>5</v>
      </c>
      <c r="Z129" s="138">
        <v>57</v>
      </c>
      <c r="AA129" s="143">
        <v>57</v>
      </c>
    </row>
    <row r="130" spans="2:27" ht="15" customHeight="1">
      <c r="B130" s="97" t="s">
        <v>210</v>
      </c>
      <c r="C130" s="20">
        <v>1</v>
      </c>
      <c r="D130" s="20" t="s">
        <v>47</v>
      </c>
      <c r="E130" s="107">
        <v>112</v>
      </c>
      <c r="F130" s="140">
        <v>26</v>
      </c>
      <c r="G130" s="141">
        <v>54</v>
      </c>
      <c r="H130" s="140">
        <v>3</v>
      </c>
      <c r="I130" s="138">
        <v>5</v>
      </c>
      <c r="J130" s="138"/>
      <c r="K130" s="138"/>
      <c r="L130" s="71">
        <f t="shared" si="12"/>
        <v>3</v>
      </c>
      <c r="M130" s="88">
        <f t="shared" si="13"/>
        <v>5</v>
      </c>
      <c r="N130" s="142">
        <v>11</v>
      </c>
      <c r="O130" s="138"/>
      <c r="P130" s="138">
        <v>6</v>
      </c>
      <c r="Q130" s="141">
        <v>17</v>
      </c>
      <c r="R130" s="140">
        <v>143</v>
      </c>
      <c r="S130" s="143">
        <v>256</v>
      </c>
      <c r="T130" s="147">
        <v>30</v>
      </c>
      <c r="U130" s="151">
        <v>13</v>
      </c>
      <c r="V130" s="148">
        <f t="shared" si="14"/>
        <v>120</v>
      </c>
      <c r="W130" s="152">
        <f t="shared" si="15"/>
        <v>235</v>
      </c>
      <c r="X130" s="140">
        <v>2</v>
      </c>
      <c r="Y130" s="138">
        <v>2</v>
      </c>
      <c r="Z130" s="138">
        <v>5</v>
      </c>
      <c r="AA130" s="143">
        <v>5</v>
      </c>
    </row>
    <row r="131" spans="2:27" ht="15" customHeight="1">
      <c r="B131" s="97" t="s">
        <v>211</v>
      </c>
      <c r="C131" s="20"/>
      <c r="D131" s="20"/>
      <c r="E131" s="33">
        <v>113</v>
      </c>
      <c r="F131" s="140">
        <v>95</v>
      </c>
      <c r="G131" s="141">
        <v>188</v>
      </c>
      <c r="H131" s="140">
        <v>21</v>
      </c>
      <c r="I131" s="138">
        <v>50</v>
      </c>
      <c r="J131" s="138"/>
      <c r="K131" s="138"/>
      <c r="L131" s="71">
        <f t="shared" si="12"/>
        <v>21</v>
      </c>
      <c r="M131" s="88">
        <f t="shared" si="13"/>
        <v>50</v>
      </c>
      <c r="N131" s="142">
        <v>27</v>
      </c>
      <c r="O131" s="138"/>
      <c r="P131" s="138">
        <v>25</v>
      </c>
      <c r="Q131" s="141">
        <v>52</v>
      </c>
      <c r="R131" s="140">
        <v>391</v>
      </c>
      <c r="S131" s="143">
        <v>614</v>
      </c>
      <c r="T131" s="147">
        <v>82</v>
      </c>
      <c r="U131" s="151">
        <v>38</v>
      </c>
      <c r="V131" s="148">
        <f t="shared" si="14"/>
        <v>344</v>
      </c>
      <c r="W131" s="152">
        <f t="shared" si="15"/>
        <v>596</v>
      </c>
      <c r="X131" s="140">
        <v>3</v>
      </c>
      <c r="Y131" s="138">
        <v>3</v>
      </c>
      <c r="Z131" s="138">
        <v>28</v>
      </c>
      <c r="AA131" s="143">
        <v>28</v>
      </c>
    </row>
    <row r="132" spans="2:27" ht="15" customHeight="1">
      <c r="B132" s="97" t="s">
        <v>212</v>
      </c>
      <c r="C132" s="20">
        <v>1</v>
      </c>
      <c r="D132" s="20" t="s">
        <v>47</v>
      </c>
      <c r="E132" s="33">
        <v>114</v>
      </c>
      <c r="F132" s="140">
        <v>50</v>
      </c>
      <c r="G132" s="141">
        <v>83</v>
      </c>
      <c r="H132" s="140">
        <v>12</v>
      </c>
      <c r="I132" s="138">
        <v>25</v>
      </c>
      <c r="J132" s="138">
        <v>1</v>
      </c>
      <c r="K132" s="138">
        <v>3</v>
      </c>
      <c r="L132" s="71">
        <f t="shared" si="12"/>
        <v>13</v>
      </c>
      <c r="M132" s="88">
        <f t="shared" si="13"/>
        <v>28</v>
      </c>
      <c r="N132" s="142"/>
      <c r="O132" s="138"/>
      <c r="P132" s="138">
        <v>14</v>
      </c>
      <c r="Q132" s="141">
        <v>15</v>
      </c>
      <c r="R132" s="140">
        <v>173</v>
      </c>
      <c r="S132" s="143">
        <v>281</v>
      </c>
      <c r="T132" s="147">
        <v>32</v>
      </c>
      <c r="U132" s="151">
        <v>10</v>
      </c>
      <c r="V132" s="148">
        <f t="shared" si="14"/>
        <v>159</v>
      </c>
      <c r="W132" s="152">
        <f t="shared" si="15"/>
        <v>282</v>
      </c>
      <c r="X132" s="140">
        <v>4</v>
      </c>
      <c r="Y132" s="138">
        <v>4</v>
      </c>
      <c r="Z132" s="138">
        <v>15</v>
      </c>
      <c r="AA132" s="143">
        <v>15</v>
      </c>
    </row>
    <row r="133" spans="2:27" ht="15" customHeight="1">
      <c r="B133" s="97" t="s">
        <v>213</v>
      </c>
      <c r="C133" s="20"/>
      <c r="D133" s="20"/>
      <c r="E133" s="107">
        <v>115</v>
      </c>
      <c r="F133" s="140">
        <v>30</v>
      </c>
      <c r="G133" s="141">
        <v>58</v>
      </c>
      <c r="H133" s="140">
        <v>10</v>
      </c>
      <c r="I133" s="138">
        <v>20</v>
      </c>
      <c r="J133" s="138"/>
      <c r="K133" s="138">
        <v>2</v>
      </c>
      <c r="L133" s="71">
        <f t="shared" si="12"/>
        <v>10</v>
      </c>
      <c r="M133" s="88">
        <f t="shared" si="13"/>
        <v>22</v>
      </c>
      <c r="N133" s="142">
        <v>2</v>
      </c>
      <c r="O133" s="138"/>
      <c r="P133" s="138">
        <v>11</v>
      </c>
      <c r="Q133" s="141">
        <v>14</v>
      </c>
      <c r="R133" s="140">
        <v>403</v>
      </c>
      <c r="S133" s="143">
        <v>555</v>
      </c>
      <c r="T133" s="147">
        <v>91</v>
      </c>
      <c r="U133" s="151">
        <v>33</v>
      </c>
      <c r="V133" s="148">
        <f t="shared" si="14"/>
        <v>303</v>
      </c>
      <c r="W133" s="152">
        <f t="shared" si="15"/>
        <v>467</v>
      </c>
      <c r="X133" s="140">
        <v>4</v>
      </c>
      <c r="Y133" s="138">
        <v>4</v>
      </c>
      <c r="Z133" s="138">
        <v>15</v>
      </c>
      <c r="AA133" s="143">
        <v>15</v>
      </c>
    </row>
    <row r="134" spans="2:27" ht="15" customHeight="1">
      <c r="B134" s="97" t="s">
        <v>214</v>
      </c>
      <c r="C134" s="20">
        <v>1</v>
      </c>
      <c r="D134" s="20" t="s">
        <v>47</v>
      </c>
      <c r="E134" s="33">
        <v>116</v>
      </c>
      <c r="F134" s="140">
        <v>308</v>
      </c>
      <c r="G134" s="141">
        <v>591</v>
      </c>
      <c r="H134" s="140">
        <v>63</v>
      </c>
      <c r="I134" s="138">
        <v>129</v>
      </c>
      <c r="J134" s="138">
        <v>3</v>
      </c>
      <c r="K134" s="138">
        <v>10</v>
      </c>
      <c r="L134" s="71">
        <f t="shared" si="12"/>
        <v>66</v>
      </c>
      <c r="M134" s="88">
        <f t="shared" si="13"/>
        <v>139</v>
      </c>
      <c r="N134" s="142">
        <v>28</v>
      </c>
      <c r="O134" s="138"/>
      <c r="P134" s="138">
        <v>36</v>
      </c>
      <c r="Q134" s="141">
        <v>64</v>
      </c>
      <c r="R134" s="140">
        <v>1155</v>
      </c>
      <c r="S134" s="143">
        <v>1747</v>
      </c>
      <c r="T134" s="147">
        <v>323</v>
      </c>
      <c r="U134" s="151">
        <v>71</v>
      </c>
      <c r="V134" s="148">
        <f t="shared" si="14"/>
        <v>891</v>
      </c>
      <c r="W134" s="152">
        <f t="shared" si="15"/>
        <v>1556</v>
      </c>
      <c r="X134" s="140">
        <v>14</v>
      </c>
      <c r="Y134" s="138">
        <v>14</v>
      </c>
      <c r="Z134" s="138">
        <v>80</v>
      </c>
      <c r="AA134" s="143">
        <v>80</v>
      </c>
    </row>
    <row r="135" spans="2:27" ht="15" customHeight="1">
      <c r="B135" s="97" t="s">
        <v>215</v>
      </c>
      <c r="C135" s="20"/>
      <c r="D135" s="20"/>
      <c r="E135" s="33">
        <v>117</v>
      </c>
      <c r="F135" s="140">
        <v>10</v>
      </c>
      <c r="G135" s="141">
        <v>14</v>
      </c>
      <c r="H135" s="140">
        <v>2</v>
      </c>
      <c r="I135" s="138">
        <v>5</v>
      </c>
      <c r="J135" s="138"/>
      <c r="K135" s="138"/>
      <c r="L135" s="71">
        <f t="shared" si="12"/>
        <v>2</v>
      </c>
      <c r="M135" s="88">
        <f t="shared" si="13"/>
        <v>5</v>
      </c>
      <c r="N135" s="142"/>
      <c r="O135" s="138"/>
      <c r="P135" s="138">
        <v>1</v>
      </c>
      <c r="Q135" s="141">
        <v>2</v>
      </c>
      <c r="R135" s="140">
        <v>78</v>
      </c>
      <c r="S135" s="143">
        <v>123</v>
      </c>
      <c r="T135" s="147">
        <v>11</v>
      </c>
      <c r="U135" s="151">
        <v>5</v>
      </c>
      <c r="V135" s="148">
        <f t="shared" si="14"/>
        <v>66</v>
      </c>
      <c r="W135" s="152">
        <f t="shared" si="15"/>
        <v>114</v>
      </c>
      <c r="X135" s="140">
        <v>1</v>
      </c>
      <c r="Y135" s="138">
        <v>2</v>
      </c>
      <c r="Z135" s="138">
        <v>5</v>
      </c>
      <c r="AA135" s="143">
        <v>5</v>
      </c>
    </row>
    <row r="136" spans="2:27" ht="15" customHeight="1">
      <c r="B136" s="97" t="s">
        <v>216</v>
      </c>
      <c r="C136" s="20"/>
      <c r="D136" s="20"/>
      <c r="E136" s="107">
        <v>118</v>
      </c>
      <c r="F136" s="140">
        <v>40</v>
      </c>
      <c r="G136" s="141">
        <v>55</v>
      </c>
      <c r="H136" s="140">
        <v>4</v>
      </c>
      <c r="I136" s="138">
        <v>7</v>
      </c>
      <c r="J136" s="138"/>
      <c r="K136" s="138"/>
      <c r="L136" s="71">
        <f t="shared" si="12"/>
        <v>4</v>
      </c>
      <c r="M136" s="88">
        <f t="shared" si="13"/>
        <v>7</v>
      </c>
      <c r="N136" s="142">
        <v>1</v>
      </c>
      <c r="O136" s="138"/>
      <c r="P136" s="138">
        <v>4</v>
      </c>
      <c r="Q136" s="141">
        <v>6</v>
      </c>
      <c r="R136" s="140">
        <v>453</v>
      </c>
      <c r="S136" s="143">
        <v>582</v>
      </c>
      <c r="T136" s="147">
        <v>117</v>
      </c>
      <c r="U136" s="151">
        <v>51</v>
      </c>
      <c r="V136" s="148">
        <f t="shared" si="14"/>
        <v>295</v>
      </c>
      <c r="W136" s="152">
        <f t="shared" si="15"/>
        <v>427</v>
      </c>
      <c r="X136" s="140"/>
      <c r="Y136" s="138"/>
      <c r="Z136" s="138">
        <v>19</v>
      </c>
      <c r="AA136" s="143">
        <v>19</v>
      </c>
    </row>
    <row r="137" spans="2:27" ht="15" customHeight="1">
      <c r="B137" s="97" t="s">
        <v>217</v>
      </c>
      <c r="C137" s="20"/>
      <c r="D137" s="20"/>
      <c r="E137" s="33">
        <v>119</v>
      </c>
      <c r="F137" s="140">
        <v>113</v>
      </c>
      <c r="G137" s="141">
        <v>166</v>
      </c>
      <c r="H137" s="140">
        <v>13</v>
      </c>
      <c r="I137" s="138">
        <v>20</v>
      </c>
      <c r="J137" s="138"/>
      <c r="K137" s="138">
        <v>1</v>
      </c>
      <c r="L137" s="71">
        <f t="shared" si="12"/>
        <v>13</v>
      </c>
      <c r="M137" s="88">
        <f t="shared" si="13"/>
        <v>21</v>
      </c>
      <c r="N137" s="142">
        <v>21</v>
      </c>
      <c r="O137" s="138"/>
      <c r="P137" s="138">
        <v>35</v>
      </c>
      <c r="Q137" s="141">
        <v>56</v>
      </c>
      <c r="R137" s="140">
        <v>881</v>
      </c>
      <c r="S137" s="143">
        <v>1110</v>
      </c>
      <c r="T137" s="147">
        <v>198</v>
      </c>
      <c r="U137" s="151">
        <v>116</v>
      </c>
      <c r="V137" s="148">
        <f t="shared" si="14"/>
        <v>636</v>
      </c>
      <c r="W137" s="152">
        <f t="shared" si="15"/>
        <v>873</v>
      </c>
      <c r="X137" s="140">
        <v>8</v>
      </c>
      <c r="Y137" s="138">
        <v>8</v>
      </c>
      <c r="Z137" s="138">
        <v>39</v>
      </c>
      <c r="AA137" s="143">
        <v>39</v>
      </c>
    </row>
    <row r="138" spans="2:27" ht="15" customHeight="1">
      <c r="B138" s="97" t="s">
        <v>218</v>
      </c>
      <c r="C138" s="20">
        <v>1</v>
      </c>
      <c r="D138" s="20" t="s">
        <v>52</v>
      </c>
      <c r="E138" s="33">
        <v>120</v>
      </c>
      <c r="F138" s="140">
        <v>4</v>
      </c>
      <c r="G138" s="141">
        <v>4</v>
      </c>
      <c r="H138" s="140"/>
      <c r="I138" s="138"/>
      <c r="J138" s="138"/>
      <c r="K138" s="138"/>
      <c r="L138" s="71">
        <f t="shared" si="12"/>
        <v>0</v>
      </c>
      <c r="M138" s="88">
        <f t="shared" si="13"/>
        <v>0</v>
      </c>
      <c r="N138" s="142">
        <v>3</v>
      </c>
      <c r="O138" s="138"/>
      <c r="P138" s="138">
        <v>5</v>
      </c>
      <c r="Q138" s="141">
        <v>6</v>
      </c>
      <c r="R138" s="140">
        <v>41</v>
      </c>
      <c r="S138" s="143">
        <v>69</v>
      </c>
      <c r="T138" s="147">
        <v>9</v>
      </c>
      <c r="U138" s="151">
        <v>4</v>
      </c>
      <c r="V138" s="148">
        <f t="shared" si="14"/>
        <v>34</v>
      </c>
      <c r="W138" s="152">
        <f t="shared" si="15"/>
        <v>62</v>
      </c>
      <c r="X138" s="140"/>
      <c r="Y138" s="138"/>
      <c r="Z138" s="138">
        <v>1</v>
      </c>
      <c r="AA138" s="143">
        <v>1</v>
      </c>
    </row>
    <row r="139" spans="2:27" ht="15" customHeight="1">
      <c r="B139" s="97" t="s">
        <v>219</v>
      </c>
      <c r="C139" s="20">
        <v>1</v>
      </c>
      <c r="D139" s="20" t="s">
        <v>47</v>
      </c>
      <c r="E139" s="107">
        <v>121</v>
      </c>
      <c r="F139" s="140">
        <v>18</v>
      </c>
      <c r="G139" s="141">
        <v>29</v>
      </c>
      <c r="H139" s="140">
        <v>5</v>
      </c>
      <c r="I139" s="138">
        <v>10</v>
      </c>
      <c r="J139" s="138"/>
      <c r="K139" s="138"/>
      <c r="L139" s="71">
        <f t="shared" si="12"/>
        <v>5</v>
      </c>
      <c r="M139" s="88">
        <f t="shared" si="13"/>
        <v>10</v>
      </c>
      <c r="N139" s="142">
        <v>1</v>
      </c>
      <c r="O139" s="138"/>
      <c r="P139" s="138">
        <v>9</v>
      </c>
      <c r="Q139" s="141">
        <v>10</v>
      </c>
      <c r="R139" s="140">
        <v>99</v>
      </c>
      <c r="S139" s="143">
        <v>179</v>
      </c>
      <c r="T139" s="147">
        <v>15</v>
      </c>
      <c r="U139" s="151">
        <v>4</v>
      </c>
      <c r="V139" s="148">
        <f t="shared" si="14"/>
        <v>95</v>
      </c>
      <c r="W139" s="152">
        <f t="shared" si="15"/>
        <v>180</v>
      </c>
      <c r="X139" s="140">
        <v>1</v>
      </c>
      <c r="Y139" s="138">
        <v>1</v>
      </c>
      <c r="Z139" s="138">
        <v>8</v>
      </c>
      <c r="AA139" s="143">
        <v>8</v>
      </c>
    </row>
    <row r="140" spans="2:27" ht="15" customHeight="1">
      <c r="B140" s="97" t="s">
        <v>220</v>
      </c>
      <c r="C140" s="20">
        <v>1</v>
      </c>
      <c r="D140" s="20" t="s">
        <v>52</v>
      </c>
      <c r="E140" s="33">
        <v>122</v>
      </c>
      <c r="F140" s="140">
        <v>10</v>
      </c>
      <c r="G140" s="141">
        <v>14</v>
      </c>
      <c r="H140" s="140">
        <v>5</v>
      </c>
      <c r="I140" s="138">
        <v>9</v>
      </c>
      <c r="J140" s="138"/>
      <c r="K140" s="138"/>
      <c r="L140" s="71">
        <f t="shared" si="12"/>
        <v>5</v>
      </c>
      <c r="M140" s="88">
        <f t="shared" si="13"/>
        <v>9</v>
      </c>
      <c r="N140" s="142">
        <v>7</v>
      </c>
      <c r="O140" s="138"/>
      <c r="P140" s="138">
        <v>2</v>
      </c>
      <c r="Q140" s="141">
        <v>9</v>
      </c>
      <c r="R140" s="140">
        <v>173</v>
      </c>
      <c r="S140" s="143">
        <v>266</v>
      </c>
      <c r="T140" s="147">
        <v>28</v>
      </c>
      <c r="U140" s="151">
        <v>11</v>
      </c>
      <c r="V140" s="148">
        <f t="shared" si="14"/>
        <v>148</v>
      </c>
      <c r="W140" s="152">
        <f t="shared" si="15"/>
        <v>245</v>
      </c>
      <c r="X140" s="140"/>
      <c r="Y140" s="138"/>
      <c r="Z140" s="138">
        <v>7</v>
      </c>
      <c r="AA140" s="143">
        <v>7</v>
      </c>
    </row>
    <row r="141" spans="2:27" ht="15" customHeight="1">
      <c r="B141" s="97" t="s">
        <v>221</v>
      </c>
      <c r="C141" s="20">
        <v>1</v>
      </c>
      <c r="D141" s="20" t="s">
        <v>47</v>
      </c>
      <c r="E141" s="33">
        <v>123</v>
      </c>
      <c r="F141" s="140">
        <v>6</v>
      </c>
      <c r="G141" s="141">
        <v>15</v>
      </c>
      <c r="H141" s="140">
        <v>3</v>
      </c>
      <c r="I141" s="138">
        <v>7</v>
      </c>
      <c r="J141" s="138"/>
      <c r="K141" s="138"/>
      <c r="L141" s="71">
        <f t="shared" si="12"/>
        <v>3</v>
      </c>
      <c r="M141" s="88">
        <f t="shared" si="13"/>
        <v>7</v>
      </c>
      <c r="N141" s="142"/>
      <c r="O141" s="138"/>
      <c r="P141" s="138">
        <v>2</v>
      </c>
      <c r="Q141" s="141">
        <v>2</v>
      </c>
      <c r="R141" s="140">
        <v>36</v>
      </c>
      <c r="S141" s="143">
        <v>80</v>
      </c>
      <c r="T141" s="147"/>
      <c r="U141" s="151"/>
      <c r="V141" s="148">
        <f t="shared" si="14"/>
        <v>41</v>
      </c>
      <c r="W141" s="152">
        <f t="shared" si="15"/>
        <v>89</v>
      </c>
      <c r="X141" s="140"/>
      <c r="Y141" s="138"/>
      <c r="Z141" s="138"/>
      <c r="AA141" s="143"/>
    </row>
    <row r="142" spans="2:27" ht="15" customHeight="1">
      <c r="B142" s="97" t="s">
        <v>222</v>
      </c>
      <c r="C142" s="20"/>
      <c r="D142" s="20"/>
      <c r="E142" s="107">
        <v>124</v>
      </c>
      <c r="F142" s="140">
        <v>218</v>
      </c>
      <c r="G142" s="141">
        <v>382</v>
      </c>
      <c r="H142" s="140">
        <v>40</v>
      </c>
      <c r="I142" s="138">
        <v>80</v>
      </c>
      <c r="J142" s="138">
        <v>6</v>
      </c>
      <c r="K142" s="138">
        <v>23</v>
      </c>
      <c r="L142" s="71">
        <f t="shared" si="12"/>
        <v>46</v>
      </c>
      <c r="M142" s="88">
        <f t="shared" si="13"/>
        <v>103</v>
      </c>
      <c r="N142" s="142">
        <v>5</v>
      </c>
      <c r="O142" s="138"/>
      <c r="P142" s="138">
        <v>34</v>
      </c>
      <c r="Q142" s="141">
        <v>39</v>
      </c>
      <c r="R142" s="140">
        <v>815</v>
      </c>
      <c r="S142" s="143">
        <v>1257</v>
      </c>
      <c r="T142" s="147">
        <v>125</v>
      </c>
      <c r="U142" s="151">
        <v>82</v>
      </c>
      <c r="V142" s="148">
        <f t="shared" si="14"/>
        <v>693</v>
      </c>
      <c r="W142" s="152">
        <f t="shared" si="15"/>
        <v>1192</v>
      </c>
      <c r="X142" s="140">
        <v>16</v>
      </c>
      <c r="Y142" s="138">
        <v>16</v>
      </c>
      <c r="Z142" s="138">
        <v>66</v>
      </c>
      <c r="AA142" s="143">
        <v>66</v>
      </c>
    </row>
    <row r="143" spans="2:27" ht="15" customHeight="1">
      <c r="B143" s="97" t="s">
        <v>223</v>
      </c>
      <c r="C143" s="20">
        <v>1</v>
      </c>
      <c r="D143" s="20" t="s">
        <v>52</v>
      </c>
      <c r="E143" s="33">
        <v>125</v>
      </c>
      <c r="F143" s="140">
        <v>14</v>
      </c>
      <c r="G143" s="141">
        <v>22</v>
      </c>
      <c r="H143" s="140">
        <v>3</v>
      </c>
      <c r="I143" s="138">
        <v>7</v>
      </c>
      <c r="J143" s="138"/>
      <c r="K143" s="138"/>
      <c r="L143" s="71">
        <f t="shared" si="12"/>
        <v>3</v>
      </c>
      <c r="M143" s="88">
        <f t="shared" si="13"/>
        <v>7</v>
      </c>
      <c r="N143" s="142"/>
      <c r="O143" s="138"/>
      <c r="P143" s="138"/>
      <c r="Q143" s="141"/>
      <c r="R143" s="140">
        <v>109</v>
      </c>
      <c r="S143" s="143">
        <v>186</v>
      </c>
      <c r="T143" s="147">
        <v>17</v>
      </c>
      <c r="U143" s="151">
        <v>6</v>
      </c>
      <c r="V143" s="148">
        <f t="shared" si="14"/>
        <v>89</v>
      </c>
      <c r="W143" s="152">
        <f t="shared" si="15"/>
        <v>170</v>
      </c>
      <c r="X143" s="140"/>
      <c r="Y143" s="138"/>
      <c r="Z143" s="138">
        <v>62</v>
      </c>
      <c r="AA143" s="143">
        <v>61</v>
      </c>
    </row>
    <row r="144" spans="2:27" ht="15" customHeight="1">
      <c r="B144" s="97" t="s">
        <v>224</v>
      </c>
      <c r="C144" s="20"/>
      <c r="D144" s="20"/>
      <c r="E144" s="33">
        <v>126</v>
      </c>
      <c r="F144" s="140">
        <v>299</v>
      </c>
      <c r="G144" s="141">
        <v>514</v>
      </c>
      <c r="H144" s="140">
        <v>54</v>
      </c>
      <c r="I144" s="138">
        <v>123</v>
      </c>
      <c r="J144" s="138">
        <v>3</v>
      </c>
      <c r="K144" s="138">
        <v>9</v>
      </c>
      <c r="L144" s="71">
        <f t="shared" si="12"/>
        <v>57</v>
      </c>
      <c r="M144" s="88">
        <f t="shared" si="13"/>
        <v>132</v>
      </c>
      <c r="N144" s="142">
        <v>35</v>
      </c>
      <c r="O144" s="138"/>
      <c r="P144" s="138">
        <v>49</v>
      </c>
      <c r="Q144" s="141">
        <v>84</v>
      </c>
      <c r="R144" s="140">
        <v>1784</v>
      </c>
      <c r="S144" s="143">
        <v>2542</v>
      </c>
      <c r="T144" s="147">
        <v>329</v>
      </c>
      <c r="U144" s="151">
        <v>233</v>
      </c>
      <c r="V144" s="148">
        <f t="shared" si="14"/>
        <v>1363</v>
      </c>
      <c r="W144" s="152">
        <f t="shared" si="15"/>
        <v>2196</v>
      </c>
      <c r="X144" s="140">
        <v>21</v>
      </c>
      <c r="Y144" s="138">
        <v>21</v>
      </c>
      <c r="Z144" s="138">
        <v>105</v>
      </c>
      <c r="AA144" s="143">
        <v>105</v>
      </c>
    </row>
    <row r="145" spans="2:27" ht="15" customHeight="1">
      <c r="B145" s="97" t="s">
        <v>225</v>
      </c>
      <c r="C145" s="20">
        <v>1</v>
      </c>
      <c r="D145" s="20" t="s">
        <v>52</v>
      </c>
      <c r="E145" s="107">
        <v>127</v>
      </c>
      <c r="F145" s="140">
        <v>6</v>
      </c>
      <c r="G145" s="141">
        <v>12</v>
      </c>
      <c r="H145" s="140">
        <v>2</v>
      </c>
      <c r="I145" s="138">
        <v>5</v>
      </c>
      <c r="J145" s="138">
        <v>1</v>
      </c>
      <c r="K145" s="138">
        <v>3</v>
      </c>
      <c r="L145" s="71">
        <f t="shared" si="12"/>
        <v>3</v>
      </c>
      <c r="M145" s="88">
        <f t="shared" si="13"/>
        <v>8</v>
      </c>
      <c r="N145" s="142"/>
      <c r="O145" s="138"/>
      <c r="P145" s="138"/>
      <c r="Q145" s="141"/>
      <c r="R145" s="140">
        <v>70</v>
      </c>
      <c r="S145" s="143">
        <v>149</v>
      </c>
      <c r="T145" s="147">
        <v>6</v>
      </c>
      <c r="U145" s="151">
        <v>9</v>
      </c>
      <c r="V145" s="148">
        <f t="shared" si="14"/>
        <v>58</v>
      </c>
      <c r="W145" s="152">
        <f t="shared" si="15"/>
        <v>142</v>
      </c>
      <c r="X145" s="140"/>
      <c r="Y145" s="138"/>
      <c r="Z145" s="138">
        <v>3</v>
      </c>
      <c r="AA145" s="143">
        <v>3</v>
      </c>
    </row>
    <row r="146" spans="2:27" ht="15" customHeight="1">
      <c r="B146" s="97" t="s">
        <v>226</v>
      </c>
      <c r="C146" s="20"/>
      <c r="D146" s="20"/>
      <c r="E146" s="33">
        <v>128</v>
      </c>
      <c r="F146" s="140">
        <v>57</v>
      </c>
      <c r="G146" s="141">
        <v>82</v>
      </c>
      <c r="H146" s="140">
        <v>8</v>
      </c>
      <c r="I146" s="138">
        <v>15</v>
      </c>
      <c r="J146" s="138">
        <v>1</v>
      </c>
      <c r="K146" s="138">
        <v>5</v>
      </c>
      <c r="L146" s="71">
        <f t="shared" si="12"/>
        <v>9</v>
      </c>
      <c r="M146" s="88">
        <f t="shared" si="13"/>
        <v>20</v>
      </c>
      <c r="N146" s="142">
        <v>10</v>
      </c>
      <c r="O146" s="138"/>
      <c r="P146" s="138">
        <v>15</v>
      </c>
      <c r="Q146" s="141">
        <v>26</v>
      </c>
      <c r="R146" s="140">
        <v>514</v>
      </c>
      <c r="S146" s="143">
        <v>716</v>
      </c>
      <c r="T146" s="147">
        <v>101</v>
      </c>
      <c r="U146" s="151">
        <v>43</v>
      </c>
      <c r="V146" s="148">
        <f t="shared" si="14"/>
        <v>405</v>
      </c>
      <c r="W146" s="152">
        <f t="shared" si="15"/>
        <v>618</v>
      </c>
      <c r="X146" s="140">
        <v>2</v>
      </c>
      <c r="Y146" s="138">
        <v>2</v>
      </c>
      <c r="Z146" s="138">
        <v>28</v>
      </c>
      <c r="AA146" s="143">
        <v>28</v>
      </c>
    </row>
    <row r="147" spans="2:27" ht="15" customHeight="1">
      <c r="B147" s="97" t="s">
        <v>227</v>
      </c>
      <c r="C147" s="20"/>
      <c r="D147" s="20"/>
      <c r="E147" s="33">
        <v>129</v>
      </c>
      <c r="F147" s="140">
        <v>42</v>
      </c>
      <c r="G147" s="141">
        <v>74</v>
      </c>
      <c r="H147" s="140">
        <v>9</v>
      </c>
      <c r="I147" s="138">
        <v>21</v>
      </c>
      <c r="J147" s="138"/>
      <c r="K147" s="138">
        <v>2</v>
      </c>
      <c r="L147" s="71">
        <f aca="true" t="shared" si="16" ref="L147:L178">SUM(H147,J147)</f>
        <v>9</v>
      </c>
      <c r="M147" s="88">
        <f aca="true" t="shared" si="17" ref="M147:M178">SUM(I147,K147)</f>
        <v>23</v>
      </c>
      <c r="N147" s="142">
        <v>3</v>
      </c>
      <c r="O147" s="138">
        <v>1</v>
      </c>
      <c r="P147" s="138">
        <v>6</v>
      </c>
      <c r="Q147" s="141">
        <v>10</v>
      </c>
      <c r="R147" s="140">
        <v>194</v>
      </c>
      <c r="S147" s="143">
        <v>319</v>
      </c>
      <c r="T147" s="147">
        <v>38</v>
      </c>
      <c r="U147" s="151">
        <v>18</v>
      </c>
      <c r="V147" s="148">
        <f aca="true" t="shared" si="18" ref="V147:V178">SUM(L147+Q147+R147-T147-U147)</f>
        <v>157</v>
      </c>
      <c r="W147" s="152">
        <f aca="true" t="shared" si="19" ref="W147:W178">SUM(M147+Q147+S147-T147-U147)</f>
        <v>296</v>
      </c>
      <c r="X147" s="140">
        <v>3</v>
      </c>
      <c r="Y147" s="138">
        <v>3</v>
      </c>
      <c r="Z147" s="138">
        <v>17</v>
      </c>
      <c r="AA147" s="143">
        <v>17</v>
      </c>
    </row>
    <row r="148" spans="2:27" ht="15" customHeight="1">
      <c r="B148" s="97" t="s">
        <v>228</v>
      </c>
      <c r="C148" s="20"/>
      <c r="D148" s="20"/>
      <c r="E148" s="33">
        <v>132</v>
      </c>
      <c r="F148" s="140">
        <v>90</v>
      </c>
      <c r="G148" s="141">
        <v>133</v>
      </c>
      <c r="H148" s="140">
        <v>17</v>
      </c>
      <c r="I148" s="138">
        <v>31</v>
      </c>
      <c r="J148" s="138"/>
      <c r="K148" s="138">
        <v>2</v>
      </c>
      <c r="L148" s="71">
        <f t="shared" si="16"/>
        <v>17</v>
      </c>
      <c r="M148" s="88">
        <f t="shared" si="17"/>
        <v>33</v>
      </c>
      <c r="N148" s="142">
        <v>18</v>
      </c>
      <c r="O148" s="138">
        <v>1</v>
      </c>
      <c r="P148" s="138">
        <v>23</v>
      </c>
      <c r="Q148" s="141">
        <v>43</v>
      </c>
      <c r="R148" s="140">
        <v>696</v>
      </c>
      <c r="S148" s="143">
        <v>974</v>
      </c>
      <c r="T148" s="147">
        <v>126</v>
      </c>
      <c r="U148" s="151">
        <v>73</v>
      </c>
      <c r="V148" s="148">
        <f t="shared" si="18"/>
        <v>557</v>
      </c>
      <c r="W148" s="152">
        <f t="shared" si="19"/>
        <v>851</v>
      </c>
      <c r="X148" s="140">
        <v>12</v>
      </c>
      <c r="Y148" s="138">
        <v>12</v>
      </c>
      <c r="Z148" s="138">
        <v>53</v>
      </c>
      <c r="AA148" s="143">
        <v>53</v>
      </c>
    </row>
    <row r="149" spans="2:27" ht="15" customHeight="1">
      <c r="B149" s="97" t="s">
        <v>229</v>
      </c>
      <c r="C149" s="20"/>
      <c r="D149" s="20"/>
      <c r="E149" s="107">
        <v>130</v>
      </c>
      <c r="F149" s="140">
        <v>46</v>
      </c>
      <c r="G149" s="141">
        <v>81</v>
      </c>
      <c r="H149" s="140">
        <v>14</v>
      </c>
      <c r="I149" s="138">
        <v>26</v>
      </c>
      <c r="J149" s="138"/>
      <c r="K149" s="138">
        <v>2</v>
      </c>
      <c r="L149" s="71">
        <f t="shared" si="16"/>
        <v>14</v>
      </c>
      <c r="M149" s="88">
        <f t="shared" si="17"/>
        <v>28</v>
      </c>
      <c r="N149" s="142">
        <v>13</v>
      </c>
      <c r="O149" s="138"/>
      <c r="P149" s="138">
        <v>31</v>
      </c>
      <c r="Q149" s="141">
        <v>44</v>
      </c>
      <c r="R149" s="140">
        <v>1643</v>
      </c>
      <c r="S149" s="143">
        <v>1831</v>
      </c>
      <c r="T149" s="147">
        <v>600</v>
      </c>
      <c r="U149" s="151">
        <v>116</v>
      </c>
      <c r="V149" s="148">
        <f t="shared" si="18"/>
        <v>985</v>
      </c>
      <c r="W149" s="152">
        <f t="shared" si="19"/>
        <v>1187</v>
      </c>
      <c r="X149" s="140">
        <v>1</v>
      </c>
      <c r="Y149" s="138">
        <v>1</v>
      </c>
      <c r="Z149" s="138">
        <v>16</v>
      </c>
      <c r="AA149" s="143">
        <v>16</v>
      </c>
    </row>
    <row r="150" spans="2:27" ht="15" customHeight="1">
      <c r="B150" s="97" t="s">
        <v>230</v>
      </c>
      <c r="C150" s="20"/>
      <c r="D150" s="20"/>
      <c r="E150" s="33">
        <v>131</v>
      </c>
      <c r="F150" s="140">
        <v>337</v>
      </c>
      <c r="G150" s="141">
        <v>595</v>
      </c>
      <c r="H150" s="140">
        <v>70</v>
      </c>
      <c r="I150" s="138">
        <v>126</v>
      </c>
      <c r="J150" s="138">
        <v>8</v>
      </c>
      <c r="K150" s="138">
        <v>30</v>
      </c>
      <c r="L150" s="71">
        <f t="shared" si="16"/>
        <v>78</v>
      </c>
      <c r="M150" s="88">
        <f t="shared" si="17"/>
        <v>156</v>
      </c>
      <c r="N150" s="142">
        <v>15</v>
      </c>
      <c r="O150" s="138">
        <v>1</v>
      </c>
      <c r="P150" s="138">
        <v>46</v>
      </c>
      <c r="Q150" s="141">
        <v>62</v>
      </c>
      <c r="R150" s="140">
        <v>1671</v>
      </c>
      <c r="S150" s="143">
        <v>2459</v>
      </c>
      <c r="T150" s="147">
        <v>322</v>
      </c>
      <c r="U150" s="151">
        <v>189</v>
      </c>
      <c r="V150" s="148">
        <f t="shared" si="18"/>
        <v>1300</v>
      </c>
      <c r="W150" s="152">
        <f t="shared" si="19"/>
        <v>2166</v>
      </c>
      <c r="X150" s="140">
        <v>15</v>
      </c>
      <c r="Y150" s="138">
        <v>15</v>
      </c>
      <c r="Z150" s="138">
        <v>102</v>
      </c>
      <c r="AA150" s="143">
        <v>102</v>
      </c>
    </row>
    <row r="151" spans="2:27" ht="15" customHeight="1">
      <c r="B151" s="97" t="s">
        <v>231</v>
      </c>
      <c r="C151" s="20">
        <v>1</v>
      </c>
      <c r="D151" s="20" t="s">
        <v>47</v>
      </c>
      <c r="E151" s="107">
        <v>133</v>
      </c>
      <c r="F151" s="140">
        <v>57</v>
      </c>
      <c r="G151" s="141">
        <v>121</v>
      </c>
      <c r="H151" s="140">
        <v>11</v>
      </c>
      <c r="I151" s="138">
        <v>20</v>
      </c>
      <c r="J151" s="138">
        <v>3</v>
      </c>
      <c r="K151" s="138">
        <v>12</v>
      </c>
      <c r="L151" s="71">
        <f t="shared" si="16"/>
        <v>14</v>
      </c>
      <c r="M151" s="88">
        <f t="shared" si="17"/>
        <v>32</v>
      </c>
      <c r="N151" s="142">
        <v>4</v>
      </c>
      <c r="O151" s="138"/>
      <c r="P151" s="138">
        <v>10</v>
      </c>
      <c r="Q151" s="141">
        <v>14</v>
      </c>
      <c r="R151" s="140">
        <v>207</v>
      </c>
      <c r="S151" s="143">
        <v>337</v>
      </c>
      <c r="T151" s="147">
        <v>43</v>
      </c>
      <c r="U151" s="151">
        <v>11</v>
      </c>
      <c r="V151" s="148">
        <f t="shared" si="18"/>
        <v>181</v>
      </c>
      <c r="W151" s="152">
        <f t="shared" si="19"/>
        <v>329</v>
      </c>
      <c r="X151" s="140">
        <v>1</v>
      </c>
      <c r="Y151" s="138">
        <v>1</v>
      </c>
      <c r="Z151" s="138">
        <v>19</v>
      </c>
      <c r="AA151" s="143">
        <v>19</v>
      </c>
    </row>
    <row r="152" spans="2:27" ht="15" customHeight="1">
      <c r="B152" s="97" t="s">
        <v>232</v>
      </c>
      <c r="C152" s="20"/>
      <c r="D152" s="20"/>
      <c r="E152" s="33">
        <v>134</v>
      </c>
      <c r="F152" s="140">
        <v>140</v>
      </c>
      <c r="G152" s="141">
        <v>246</v>
      </c>
      <c r="H152" s="140">
        <v>40</v>
      </c>
      <c r="I152" s="138">
        <v>79</v>
      </c>
      <c r="J152" s="138">
        <v>2</v>
      </c>
      <c r="K152" s="138">
        <v>11</v>
      </c>
      <c r="L152" s="71">
        <f t="shared" si="16"/>
        <v>42</v>
      </c>
      <c r="M152" s="88">
        <f t="shared" si="17"/>
        <v>90</v>
      </c>
      <c r="N152" s="142">
        <v>3</v>
      </c>
      <c r="O152" s="138"/>
      <c r="P152" s="138">
        <v>21</v>
      </c>
      <c r="Q152" s="141">
        <v>24</v>
      </c>
      <c r="R152" s="140">
        <v>715</v>
      </c>
      <c r="S152" s="143">
        <v>1119</v>
      </c>
      <c r="T152" s="147">
        <v>124</v>
      </c>
      <c r="U152" s="151">
        <v>55</v>
      </c>
      <c r="V152" s="148">
        <f t="shared" si="18"/>
        <v>602</v>
      </c>
      <c r="W152" s="152">
        <f t="shared" si="19"/>
        <v>1054</v>
      </c>
      <c r="X152" s="140">
        <v>6</v>
      </c>
      <c r="Y152" s="138">
        <v>6</v>
      </c>
      <c r="Z152" s="138">
        <v>44</v>
      </c>
      <c r="AA152" s="143">
        <v>44</v>
      </c>
    </row>
    <row r="153" spans="2:27" ht="15" customHeight="1">
      <c r="B153" s="97" t="s">
        <v>233</v>
      </c>
      <c r="C153" s="20" t="s">
        <v>63</v>
      </c>
      <c r="D153" s="20"/>
      <c r="E153" s="33">
        <v>135</v>
      </c>
      <c r="F153" s="140">
        <v>1952</v>
      </c>
      <c r="G153" s="141">
        <v>3201</v>
      </c>
      <c r="H153" s="140">
        <v>334</v>
      </c>
      <c r="I153" s="138">
        <v>617</v>
      </c>
      <c r="J153" s="138">
        <v>8</v>
      </c>
      <c r="K153" s="138">
        <v>28</v>
      </c>
      <c r="L153" s="71">
        <f t="shared" si="16"/>
        <v>342</v>
      </c>
      <c r="M153" s="88">
        <f t="shared" si="17"/>
        <v>645</v>
      </c>
      <c r="N153" s="142">
        <v>324</v>
      </c>
      <c r="O153" s="138">
        <v>1</v>
      </c>
      <c r="P153" s="138">
        <v>242</v>
      </c>
      <c r="Q153" s="141">
        <v>568</v>
      </c>
      <c r="R153" s="140">
        <v>7796</v>
      </c>
      <c r="S153" s="143">
        <v>11505</v>
      </c>
      <c r="T153" s="147">
        <v>1530</v>
      </c>
      <c r="U153" s="151">
        <v>333</v>
      </c>
      <c r="V153" s="148">
        <f t="shared" si="18"/>
        <v>6843</v>
      </c>
      <c r="W153" s="152">
        <f t="shared" si="19"/>
        <v>10855</v>
      </c>
      <c r="X153" s="140">
        <v>128</v>
      </c>
      <c r="Y153" s="138">
        <v>128</v>
      </c>
      <c r="Z153" s="138">
        <v>620</v>
      </c>
      <c r="AA153" s="143">
        <v>620</v>
      </c>
    </row>
    <row r="154" spans="2:27" ht="15" customHeight="1">
      <c r="B154" s="97" t="s">
        <v>234</v>
      </c>
      <c r="C154" s="20">
        <v>1</v>
      </c>
      <c r="D154" s="20" t="s">
        <v>47</v>
      </c>
      <c r="E154" s="107">
        <v>136</v>
      </c>
      <c r="F154" s="140">
        <v>52</v>
      </c>
      <c r="G154" s="141">
        <v>95</v>
      </c>
      <c r="H154" s="140">
        <v>17</v>
      </c>
      <c r="I154" s="138">
        <v>31</v>
      </c>
      <c r="J154" s="138">
        <v>1</v>
      </c>
      <c r="K154" s="138">
        <v>6</v>
      </c>
      <c r="L154" s="71">
        <f t="shared" si="16"/>
        <v>18</v>
      </c>
      <c r="M154" s="88">
        <f t="shared" si="17"/>
        <v>37</v>
      </c>
      <c r="N154" s="142"/>
      <c r="O154" s="138"/>
      <c r="P154" s="138">
        <v>11</v>
      </c>
      <c r="Q154" s="141">
        <v>11</v>
      </c>
      <c r="R154" s="140">
        <v>175</v>
      </c>
      <c r="S154" s="143">
        <v>313</v>
      </c>
      <c r="T154" s="147">
        <v>26</v>
      </c>
      <c r="U154" s="151">
        <v>12</v>
      </c>
      <c r="V154" s="148">
        <f t="shared" si="18"/>
        <v>166</v>
      </c>
      <c r="W154" s="152">
        <f t="shared" si="19"/>
        <v>323</v>
      </c>
      <c r="X154" s="140">
        <v>1</v>
      </c>
      <c r="Y154" s="138">
        <v>1</v>
      </c>
      <c r="Z154" s="138">
        <v>14</v>
      </c>
      <c r="AA154" s="143">
        <v>14</v>
      </c>
    </row>
    <row r="155" spans="2:27" ht="15" customHeight="1">
      <c r="B155" s="97" t="s">
        <v>235</v>
      </c>
      <c r="C155" s="20"/>
      <c r="D155" s="20"/>
      <c r="E155" s="33">
        <v>137</v>
      </c>
      <c r="F155" s="140">
        <v>245</v>
      </c>
      <c r="G155" s="141">
        <v>435</v>
      </c>
      <c r="H155" s="140">
        <v>50</v>
      </c>
      <c r="I155" s="138">
        <v>113</v>
      </c>
      <c r="J155" s="138">
        <v>3</v>
      </c>
      <c r="K155" s="138">
        <v>13</v>
      </c>
      <c r="L155" s="71">
        <f t="shared" si="16"/>
        <v>53</v>
      </c>
      <c r="M155" s="88">
        <f t="shared" si="17"/>
        <v>126</v>
      </c>
      <c r="N155" s="142">
        <v>6</v>
      </c>
      <c r="O155" s="138"/>
      <c r="P155" s="138">
        <v>72</v>
      </c>
      <c r="Q155" s="141">
        <v>79</v>
      </c>
      <c r="R155" s="140">
        <v>1208</v>
      </c>
      <c r="S155" s="143">
        <v>1809</v>
      </c>
      <c r="T155" s="147">
        <v>275</v>
      </c>
      <c r="U155" s="151">
        <v>106</v>
      </c>
      <c r="V155" s="148">
        <f t="shared" si="18"/>
        <v>959</v>
      </c>
      <c r="W155" s="152">
        <f t="shared" si="19"/>
        <v>1633</v>
      </c>
      <c r="X155" s="140">
        <v>10</v>
      </c>
      <c r="Y155" s="138">
        <v>10</v>
      </c>
      <c r="Z155" s="138">
        <v>65</v>
      </c>
      <c r="AA155" s="143">
        <v>65</v>
      </c>
    </row>
    <row r="156" spans="2:27" ht="15" customHeight="1">
      <c r="B156" s="97" t="s">
        <v>0</v>
      </c>
      <c r="C156" s="20"/>
      <c r="D156" s="20"/>
      <c r="E156" s="33">
        <v>138</v>
      </c>
      <c r="F156" s="140">
        <v>700</v>
      </c>
      <c r="G156" s="141">
        <v>1371</v>
      </c>
      <c r="H156" s="140">
        <v>192</v>
      </c>
      <c r="I156" s="138">
        <v>392</v>
      </c>
      <c r="J156" s="138">
        <v>10</v>
      </c>
      <c r="K156" s="138">
        <v>38</v>
      </c>
      <c r="L156" s="71">
        <f t="shared" si="16"/>
        <v>202</v>
      </c>
      <c r="M156" s="88">
        <f t="shared" si="17"/>
        <v>430</v>
      </c>
      <c r="N156" s="142">
        <v>38</v>
      </c>
      <c r="O156" s="138"/>
      <c r="P156" s="138">
        <v>80</v>
      </c>
      <c r="Q156" s="141">
        <v>119</v>
      </c>
      <c r="R156" s="140">
        <v>2706</v>
      </c>
      <c r="S156" s="143">
        <v>4327</v>
      </c>
      <c r="T156" s="147">
        <v>462</v>
      </c>
      <c r="U156" s="151">
        <v>239</v>
      </c>
      <c r="V156" s="148">
        <f t="shared" si="18"/>
        <v>2326</v>
      </c>
      <c r="W156" s="152">
        <f t="shared" si="19"/>
        <v>4175</v>
      </c>
      <c r="X156" s="140">
        <v>25</v>
      </c>
      <c r="Y156" s="138">
        <v>25</v>
      </c>
      <c r="Z156" s="138">
        <v>242</v>
      </c>
      <c r="AA156" s="143">
        <v>242</v>
      </c>
    </row>
    <row r="157" spans="2:27" ht="15" customHeight="1">
      <c r="B157" s="97" t="s">
        <v>1</v>
      </c>
      <c r="C157" s="20"/>
      <c r="D157" s="20"/>
      <c r="E157" s="107">
        <v>139</v>
      </c>
      <c r="F157" s="140">
        <v>53</v>
      </c>
      <c r="G157" s="141">
        <v>91</v>
      </c>
      <c r="H157" s="140">
        <v>12</v>
      </c>
      <c r="I157" s="138">
        <v>22</v>
      </c>
      <c r="J157" s="138"/>
      <c r="K157" s="138">
        <v>3</v>
      </c>
      <c r="L157" s="71">
        <f t="shared" si="16"/>
        <v>12</v>
      </c>
      <c r="M157" s="88">
        <f t="shared" si="17"/>
        <v>25</v>
      </c>
      <c r="N157" s="142">
        <v>3</v>
      </c>
      <c r="O157" s="138">
        <v>1</v>
      </c>
      <c r="P157" s="138">
        <v>19</v>
      </c>
      <c r="Q157" s="141">
        <v>24</v>
      </c>
      <c r="R157" s="140">
        <v>372</v>
      </c>
      <c r="S157" s="143">
        <v>531</v>
      </c>
      <c r="T157" s="147">
        <v>67</v>
      </c>
      <c r="U157" s="151">
        <v>55</v>
      </c>
      <c r="V157" s="148">
        <f t="shared" si="18"/>
        <v>286</v>
      </c>
      <c r="W157" s="152">
        <f t="shared" si="19"/>
        <v>458</v>
      </c>
      <c r="X157" s="140">
        <v>1</v>
      </c>
      <c r="Y157" s="138">
        <v>1</v>
      </c>
      <c r="Z157" s="138">
        <v>15</v>
      </c>
      <c r="AA157" s="143">
        <v>15</v>
      </c>
    </row>
    <row r="158" spans="2:27" ht="15" customHeight="1">
      <c r="B158" s="97" t="s">
        <v>2</v>
      </c>
      <c r="C158" s="20">
        <v>1</v>
      </c>
      <c r="D158" s="20" t="s">
        <v>52</v>
      </c>
      <c r="E158" s="33">
        <v>140</v>
      </c>
      <c r="F158" s="140">
        <v>78</v>
      </c>
      <c r="G158" s="141">
        <v>133</v>
      </c>
      <c r="H158" s="140">
        <v>16</v>
      </c>
      <c r="I158" s="138">
        <v>33</v>
      </c>
      <c r="J158" s="138">
        <v>2</v>
      </c>
      <c r="K158" s="138">
        <v>11</v>
      </c>
      <c r="L158" s="71">
        <f t="shared" si="16"/>
        <v>18</v>
      </c>
      <c r="M158" s="88">
        <f t="shared" si="17"/>
        <v>44</v>
      </c>
      <c r="N158" s="142">
        <v>2</v>
      </c>
      <c r="O158" s="138">
        <v>1</v>
      </c>
      <c r="P158" s="138">
        <v>11</v>
      </c>
      <c r="Q158" s="141">
        <v>14</v>
      </c>
      <c r="R158" s="140">
        <v>354</v>
      </c>
      <c r="S158" s="143">
        <v>596</v>
      </c>
      <c r="T158" s="147">
        <v>57</v>
      </c>
      <c r="U158" s="151">
        <v>57</v>
      </c>
      <c r="V158" s="148">
        <f t="shared" si="18"/>
        <v>272</v>
      </c>
      <c r="W158" s="152">
        <f t="shared" si="19"/>
        <v>540</v>
      </c>
      <c r="X158" s="140">
        <v>3</v>
      </c>
      <c r="Y158" s="138">
        <v>3</v>
      </c>
      <c r="Z158" s="138">
        <v>28</v>
      </c>
      <c r="AA158" s="143">
        <v>28</v>
      </c>
    </row>
    <row r="159" spans="2:27" ht="15" customHeight="1">
      <c r="B159" s="97" t="s">
        <v>3</v>
      </c>
      <c r="C159" s="20">
        <v>1</v>
      </c>
      <c r="D159" s="20" t="s">
        <v>47</v>
      </c>
      <c r="E159" s="33">
        <v>141</v>
      </c>
      <c r="F159" s="140">
        <v>137</v>
      </c>
      <c r="G159" s="141">
        <v>264</v>
      </c>
      <c r="H159" s="140">
        <v>29</v>
      </c>
      <c r="I159" s="138">
        <v>60</v>
      </c>
      <c r="J159" s="138">
        <v>3</v>
      </c>
      <c r="K159" s="138">
        <v>11</v>
      </c>
      <c r="L159" s="71">
        <f t="shared" si="16"/>
        <v>32</v>
      </c>
      <c r="M159" s="88">
        <f t="shared" si="17"/>
        <v>71</v>
      </c>
      <c r="N159" s="142">
        <v>3</v>
      </c>
      <c r="O159" s="138">
        <v>1</v>
      </c>
      <c r="P159" s="138">
        <v>23</v>
      </c>
      <c r="Q159" s="141">
        <v>28</v>
      </c>
      <c r="R159" s="140">
        <v>459</v>
      </c>
      <c r="S159" s="143">
        <v>747</v>
      </c>
      <c r="T159" s="147">
        <v>95</v>
      </c>
      <c r="U159" s="151">
        <v>44</v>
      </c>
      <c r="V159" s="148">
        <f t="shared" si="18"/>
        <v>380</v>
      </c>
      <c r="W159" s="152">
        <f t="shared" si="19"/>
        <v>707</v>
      </c>
      <c r="X159" s="140">
        <v>5</v>
      </c>
      <c r="Y159" s="138">
        <v>5</v>
      </c>
      <c r="Z159" s="138">
        <v>36</v>
      </c>
      <c r="AA159" s="143">
        <v>36</v>
      </c>
    </row>
    <row r="160" spans="2:27" ht="15" customHeight="1">
      <c r="B160" s="97" t="s">
        <v>4</v>
      </c>
      <c r="C160" s="20"/>
      <c r="D160" s="20"/>
      <c r="E160" s="107">
        <v>142</v>
      </c>
      <c r="F160" s="140">
        <v>39</v>
      </c>
      <c r="G160" s="141">
        <v>54</v>
      </c>
      <c r="H160" s="140">
        <v>12</v>
      </c>
      <c r="I160" s="138">
        <v>21</v>
      </c>
      <c r="J160" s="138"/>
      <c r="K160" s="138"/>
      <c r="L160" s="71">
        <f t="shared" si="16"/>
        <v>12</v>
      </c>
      <c r="M160" s="88">
        <f t="shared" si="17"/>
        <v>21</v>
      </c>
      <c r="N160" s="142">
        <v>4</v>
      </c>
      <c r="O160" s="138"/>
      <c r="P160" s="138">
        <v>13</v>
      </c>
      <c r="Q160" s="141">
        <v>17</v>
      </c>
      <c r="R160" s="140">
        <v>327</v>
      </c>
      <c r="S160" s="143">
        <v>488</v>
      </c>
      <c r="T160" s="147">
        <v>52</v>
      </c>
      <c r="U160" s="151">
        <v>31</v>
      </c>
      <c r="V160" s="148">
        <f t="shared" si="18"/>
        <v>273</v>
      </c>
      <c r="W160" s="152">
        <f t="shared" si="19"/>
        <v>443</v>
      </c>
      <c r="X160" s="140">
        <v>3</v>
      </c>
      <c r="Y160" s="138">
        <v>3</v>
      </c>
      <c r="Z160" s="138">
        <v>17</v>
      </c>
      <c r="AA160" s="143">
        <v>17</v>
      </c>
    </row>
    <row r="161" spans="2:27" ht="15" customHeight="1">
      <c r="B161" s="97" t="s">
        <v>5</v>
      </c>
      <c r="C161" s="20"/>
      <c r="D161" s="20"/>
      <c r="E161" s="33">
        <v>143</v>
      </c>
      <c r="F161" s="140">
        <v>983</v>
      </c>
      <c r="G161" s="141">
        <v>1750</v>
      </c>
      <c r="H161" s="140">
        <v>170</v>
      </c>
      <c r="I161" s="138">
        <v>372</v>
      </c>
      <c r="J161" s="138">
        <v>16</v>
      </c>
      <c r="K161" s="138">
        <v>56</v>
      </c>
      <c r="L161" s="71">
        <f t="shared" si="16"/>
        <v>186</v>
      </c>
      <c r="M161" s="88">
        <f t="shared" si="17"/>
        <v>428</v>
      </c>
      <c r="N161" s="142">
        <v>32</v>
      </c>
      <c r="O161" s="138">
        <v>2</v>
      </c>
      <c r="P161" s="138">
        <v>220</v>
      </c>
      <c r="Q161" s="141">
        <v>254</v>
      </c>
      <c r="R161" s="140">
        <v>3558</v>
      </c>
      <c r="S161" s="143">
        <v>5432</v>
      </c>
      <c r="T161" s="147">
        <v>787</v>
      </c>
      <c r="U161" s="151">
        <v>311</v>
      </c>
      <c r="V161" s="148">
        <f t="shared" si="18"/>
        <v>2900</v>
      </c>
      <c r="W161" s="152">
        <f t="shared" si="19"/>
        <v>5016</v>
      </c>
      <c r="X161" s="140">
        <v>49</v>
      </c>
      <c r="Y161" s="138">
        <v>49</v>
      </c>
      <c r="Z161" s="138">
        <v>331</v>
      </c>
      <c r="AA161" s="143">
        <v>331</v>
      </c>
    </row>
    <row r="162" spans="2:27" ht="15" customHeight="1">
      <c r="B162" s="97" t="s">
        <v>6</v>
      </c>
      <c r="C162" s="20"/>
      <c r="D162" s="20"/>
      <c r="E162" s="33">
        <v>144</v>
      </c>
      <c r="F162" s="140">
        <v>141</v>
      </c>
      <c r="G162" s="141">
        <v>204</v>
      </c>
      <c r="H162" s="140">
        <v>18</v>
      </c>
      <c r="I162" s="138">
        <v>35</v>
      </c>
      <c r="J162" s="138">
        <v>1</v>
      </c>
      <c r="K162" s="138">
        <v>3</v>
      </c>
      <c r="L162" s="71">
        <f t="shared" si="16"/>
        <v>19</v>
      </c>
      <c r="M162" s="88">
        <f t="shared" si="17"/>
        <v>38</v>
      </c>
      <c r="N162" s="142">
        <v>33</v>
      </c>
      <c r="O162" s="138"/>
      <c r="P162" s="138">
        <v>54</v>
      </c>
      <c r="Q162" s="141">
        <v>87</v>
      </c>
      <c r="R162" s="140">
        <v>1238</v>
      </c>
      <c r="S162" s="143">
        <v>1640</v>
      </c>
      <c r="T162" s="147">
        <v>272</v>
      </c>
      <c r="U162" s="151">
        <v>170</v>
      </c>
      <c r="V162" s="148">
        <f t="shared" si="18"/>
        <v>902</v>
      </c>
      <c r="W162" s="152">
        <f t="shared" si="19"/>
        <v>1323</v>
      </c>
      <c r="X162" s="140">
        <v>9</v>
      </c>
      <c r="Y162" s="138">
        <v>9</v>
      </c>
      <c r="Z162" s="138">
        <v>58</v>
      </c>
      <c r="AA162" s="143">
        <v>58</v>
      </c>
    </row>
    <row r="163" spans="2:27" ht="15" customHeight="1">
      <c r="B163" s="97" t="s">
        <v>7</v>
      </c>
      <c r="C163" s="20">
        <v>1</v>
      </c>
      <c r="D163" s="20" t="s">
        <v>47</v>
      </c>
      <c r="E163" s="107">
        <v>145</v>
      </c>
      <c r="F163" s="140">
        <v>2</v>
      </c>
      <c r="G163" s="141">
        <v>2</v>
      </c>
      <c r="H163" s="140"/>
      <c r="I163" s="138"/>
      <c r="J163" s="138"/>
      <c r="K163" s="138"/>
      <c r="L163" s="71">
        <f t="shared" si="16"/>
        <v>0</v>
      </c>
      <c r="M163" s="88">
        <f t="shared" si="17"/>
        <v>0</v>
      </c>
      <c r="N163" s="142">
        <v>1</v>
      </c>
      <c r="O163" s="138"/>
      <c r="P163" s="138"/>
      <c r="Q163" s="141">
        <v>1</v>
      </c>
      <c r="R163" s="140">
        <v>14</v>
      </c>
      <c r="S163" s="143">
        <v>31</v>
      </c>
      <c r="T163" s="147">
        <v>1</v>
      </c>
      <c r="U163" s="151">
        <v>3</v>
      </c>
      <c r="V163" s="148">
        <f t="shared" si="18"/>
        <v>11</v>
      </c>
      <c r="W163" s="152">
        <f t="shared" si="19"/>
        <v>28</v>
      </c>
      <c r="X163" s="140"/>
      <c r="Y163" s="138"/>
      <c r="Z163" s="138"/>
      <c r="AA163" s="143"/>
    </row>
    <row r="164" spans="2:27" ht="15" customHeight="1">
      <c r="B164" s="97" t="s">
        <v>8</v>
      </c>
      <c r="C164" s="20"/>
      <c r="D164" s="20"/>
      <c r="E164" s="33">
        <v>146</v>
      </c>
      <c r="F164" s="140">
        <v>618</v>
      </c>
      <c r="G164" s="141">
        <v>1242</v>
      </c>
      <c r="H164" s="140">
        <v>173</v>
      </c>
      <c r="I164" s="138">
        <v>360</v>
      </c>
      <c r="J164" s="138">
        <v>9</v>
      </c>
      <c r="K164" s="138">
        <v>35</v>
      </c>
      <c r="L164" s="71">
        <f t="shared" si="16"/>
        <v>182</v>
      </c>
      <c r="M164" s="88">
        <f t="shared" si="17"/>
        <v>395</v>
      </c>
      <c r="N164" s="142">
        <v>32</v>
      </c>
      <c r="O164" s="138">
        <v>4</v>
      </c>
      <c r="P164" s="138">
        <v>142</v>
      </c>
      <c r="Q164" s="141">
        <v>180</v>
      </c>
      <c r="R164" s="140">
        <v>2092</v>
      </c>
      <c r="S164" s="143">
        <v>3285</v>
      </c>
      <c r="T164" s="147">
        <v>433</v>
      </c>
      <c r="U164" s="151">
        <v>179</v>
      </c>
      <c r="V164" s="148">
        <f t="shared" si="18"/>
        <v>1842</v>
      </c>
      <c r="W164" s="152">
        <f t="shared" si="19"/>
        <v>3248</v>
      </c>
      <c r="X164" s="140">
        <v>28</v>
      </c>
      <c r="Y164" s="138">
        <v>28</v>
      </c>
      <c r="Z164" s="138">
        <v>133</v>
      </c>
      <c r="AA164" s="143">
        <v>133</v>
      </c>
    </row>
    <row r="165" spans="2:27" ht="15" customHeight="1">
      <c r="B165" s="97" t="s">
        <v>9</v>
      </c>
      <c r="C165" s="20">
        <v>1</v>
      </c>
      <c r="D165" s="20" t="s">
        <v>47</v>
      </c>
      <c r="E165" s="33">
        <v>147</v>
      </c>
      <c r="F165" s="140">
        <v>37</v>
      </c>
      <c r="G165" s="141">
        <v>62</v>
      </c>
      <c r="H165" s="140">
        <v>7</v>
      </c>
      <c r="I165" s="138">
        <v>13</v>
      </c>
      <c r="J165" s="138"/>
      <c r="K165" s="138">
        <v>1</v>
      </c>
      <c r="L165" s="71">
        <f t="shared" si="16"/>
        <v>7</v>
      </c>
      <c r="M165" s="88">
        <f t="shared" si="17"/>
        <v>14</v>
      </c>
      <c r="N165" s="142">
        <v>1</v>
      </c>
      <c r="O165" s="138"/>
      <c r="P165" s="138">
        <v>5</v>
      </c>
      <c r="Q165" s="141">
        <v>7</v>
      </c>
      <c r="R165" s="140">
        <v>110</v>
      </c>
      <c r="S165" s="143">
        <v>182</v>
      </c>
      <c r="T165" s="147">
        <v>21</v>
      </c>
      <c r="U165" s="151">
        <v>9</v>
      </c>
      <c r="V165" s="148">
        <f t="shared" si="18"/>
        <v>94</v>
      </c>
      <c r="W165" s="152">
        <f t="shared" si="19"/>
        <v>173</v>
      </c>
      <c r="X165" s="140">
        <v>3</v>
      </c>
      <c r="Y165" s="138">
        <v>3</v>
      </c>
      <c r="Z165" s="138">
        <v>12</v>
      </c>
      <c r="AA165" s="143">
        <v>12</v>
      </c>
    </row>
    <row r="166" spans="2:27" ht="15" customHeight="1">
      <c r="B166" s="97" t="s">
        <v>10</v>
      </c>
      <c r="C166" s="20"/>
      <c r="D166" s="20"/>
      <c r="E166" s="107">
        <v>148</v>
      </c>
      <c r="F166" s="140">
        <v>390</v>
      </c>
      <c r="G166" s="141">
        <v>670</v>
      </c>
      <c r="H166" s="140">
        <v>83</v>
      </c>
      <c r="I166" s="138">
        <v>165</v>
      </c>
      <c r="J166" s="138">
        <v>4</v>
      </c>
      <c r="K166" s="138">
        <v>16</v>
      </c>
      <c r="L166" s="71">
        <f t="shared" si="16"/>
        <v>87</v>
      </c>
      <c r="M166" s="88">
        <f t="shared" si="17"/>
        <v>181</v>
      </c>
      <c r="N166" s="142">
        <v>78</v>
      </c>
      <c r="O166" s="138">
        <v>1</v>
      </c>
      <c r="P166" s="138">
        <v>89</v>
      </c>
      <c r="Q166" s="141">
        <v>169</v>
      </c>
      <c r="R166" s="140">
        <v>2364</v>
      </c>
      <c r="S166" s="143">
        <v>3284</v>
      </c>
      <c r="T166" s="147">
        <v>479</v>
      </c>
      <c r="U166" s="151">
        <v>267</v>
      </c>
      <c r="V166" s="148">
        <f t="shared" si="18"/>
        <v>1874</v>
      </c>
      <c r="W166" s="152">
        <f t="shared" si="19"/>
        <v>2888</v>
      </c>
      <c r="X166" s="140">
        <v>23</v>
      </c>
      <c r="Y166" s="138">
        <v>23</v>
      </c>
      <c r="Z166" s="138">
        <v>133</v>
      </c>
      <c r="AA166" s="143">
        <v>133</v>
      </c>
    </row>
    <row r="167" spans="2:27" ht="15" customHeight="1">
      <c r="B167" s="97" t="s">
        <v>11</v>
      </c>
      <c r="C167" s="20">
        <v>1</v>
      </c>
      <c r="D167" s="20" t="s">
        <v>52</v>
      </c>
      <c r="E167" s="33">
        <v>149</v>
      </c>
      <c r="F167" s="140">
        <v>2</v>
      </c>
      <c r="G167" s="141">
        <v>3</v>
      </c>
      <c r="H167" s="140">
        <v>2</v>
      </c>
      <c r="I167" s="138">
        <v>4</v>
      </c>
      <c r="J167" s="138"/>
      <c r="K167" s="138"/>
      <c r="L167" s="71">
        <f t="shared" si="16"/>
        <v>2</v>
      </c>
      <c r="M167" s="88">
        <f t="shared" si="17"/>
        <v>4</v>
      </c>
      <c r="N167" s="142"/>
      <c r="O167" s="138"/>
      <c r="P167" s="138"/>
      <c r="Q167" s="141"/>
      <c r="R167" s="140">
        <v>22</v>
      </c>
      <c r="S167" s="143">
        <v>48</v>
      </c>
      <c r="T167" s="147">
        <v>4</v>
      </c>
      <c r="U167" s="151">
        <v>1</v>
      </c>
      <c r="V167" s="148">
        <f t="shared" si="18"/>
        <v>19</v>
      </c>
      <c r="W167" s="152">
        <f t="shared" si="19"/>
        <v>47</v>
      </c>
      <c r="X167" s="140"/>
      <c r="Y167" s="138"/>
      <c r="Z167" s="138">
        <v>1</v>
      </c>
      <c r="AA167" s="143">
        <v>1</v>
      </c>
    </row>
    <row r="168" spans="2:27" ht="15" customHeight="1">
      <c r="B168" s="97" t="s">
        <v>12</v>
      </c>
      <c r="C168" s="20">
        <v>1</v>
      </c>
      <c r="D168" s="20" t="s">
        <v>52</v>
      </c>
      <c r="E168" s="33">
        <v>150</v>
      </c>
      <c r="F168" s="140">
        <v>12</v>
      </c>
      <c r="G168" s="141">
        <v>22</v>
      </c>
      <c r="H168" s="140"/>
      <c r="I168" s="138">
        <v>1</v>
      </c>
      <c r="J168" s="138"/>
      <c r="K168" s="138"/>
      <c r="L168" s="71">
        <f t="shared" si="16"/>
        <v>0</v>
      </c>
      <c r="M168" s="88">
        <f t="shared" si="17"/>
        <v>1</v>
      </c>
      <c r="N168" s="142">
        <v>9</v>
      </c>
      <c r="O168" s="138"/>
      <c r="P168" s="138">
        <v>4</v>
      </c>
      <c r="Q168" s="141">
        <v>14</v>
      </c>
      <c r="R168" s="140">
        <v>134</v>
      </c>
      <c r="S168" s="143">
        <v>219</v>
      </c>
      <c r="T168" s="147">
        <v>18</v>
      </c>
      <c r="U168" s="151">
        <v>10</v>
      </c>
      <c r="V168" s="148">
        <f t="shared" si="18"/>
        <v>120</v>
      </c>
      <c r="W168" s="152">
        <f t="shared" si="19"/>
        <v>206</v>
      </c>
      <c r="X168" s="140">
        <v>1</v>
      </c>
      <c r="Y168" s="138">
        <v>1</v>
      </c>
      <c r="Z168" s="138">
        <v>11</v>
      </c>
      <c r="AA168" s="143">
        <v>11</v>
      </c>
    </row>
    <row r="169" spans="2:27" ht="15" customHeight="1">
      <c r="B169" s="97" t="s">
        <v>13</v>
      </c>
      <c r="C169" s="20" t="s">
        <v>63</v>
      </c>
      <c r="D169" s="20"/>
      <c r="E169" s="107">
        <v>151</v>
      </c>
      <c r="F169" s="140">
        <v>8107</v>
      </c>
      <c r="G169" s="141">
        <v>17068</v>
      </c>
      <c r="H169" s="140">
        <v>1889</v>
      </c>
      <c r="I169" s="138">
        <v>4112</v>
      </c>
      <c r="J169" s="138">
        <v>143</v>
      </c>
      <c r="K169" s="138">
        <v>538</v>
      </c>
      <c r="L169" s="71">
        <f t="shared" si="16"/>
        <v>2032</v>
      </c>
      <c r="M169" s="88">
        <f t="shared" si="17"/>
        <v>4650</v>
      </c>
      <c r="N169" s="142">
        <v>335</v>
      </c>
      <c r="O169" s="138">
        <v>1</v>
      </c>
      <c r="P169" s="138">
        <v>944</v>
      </c>
      <c r="Q169" s="141">
        <v>1282</v>
      </c>
      <c r="R169" s="140">
        <v>15836</v>
      </c>
      <c r="S169" s="143">
        <v>26595</v>
      </c>
      <c r="T169" s="147">
        <v>2976</v>
      </c>
      <c r="U169" s="151">
        <v>790</v>
      </c>
      <c r="V169" s="148">
        <f t="shared" si="18"/>
        <v>15384</v>
      </c>
      <c r="W169" s="152">
        <f t="shared" si="19"/>
        <v>28761</v>
      </c>
      <c r="X169" s="140">
        <v>286</v>
      </c>
      <c r="Y169" s="138">
        <v>287</v>
      </c>
      <c r="Z169" s="138">
        <v>2015</v>
      </c>
      <c r="AA169" s="143">
        <v>2015</v>
      </c>
    </row>
    <row r="170" spans="2:27" ht="15" customHeight="1">
      <c r="B170" s="97" t="s">
        <v>14</v>
      </c>
      <c r="C170" s="20"/>
      <c r="D170" s="20"/>
      <c r="E170" s="33">
        <v>152</v>
      </c>
      <c r="F170" s="140">
        <v>147</v>
      </c>
      <c r="G170" s="141">
        <v>231</v>
      </c>
      <c r="H170" s="140">
        <v>28</v>
      </c>
      <c r="I170" s="138">
        <v>49</v>
      </c>
      <c r="J170" s="138">
        <v>2</v>
      </c>
      <c r="K170" s="138">
        <v>6</v>
      </c>
      <c r="L170" s="71">
        <f t="shared" si="16"/>
        <v>30</v>
      </c>
      <c r="M170" s="88">
        <f t="shared" si="17"/>
        <v>55</v>
      </c>
      <c r="N170" s="142">
        <v>14</v>
      </c>
      <c r="O170" s="138">
        <v>1</v>
      </c>
      <c r="P170" s="138">
        <v>39</v>
      </c>
      <c r="Q170" s="141">
        <v>54</v>
      </c>
      <c r="R170" s="140">
        <v>1168</v>
      </c>
      <c r="S170" s="143">
        <v>1572</v>
      </c>
      <c r="T170" s="147">
        <v>252</v>
      </c>
      <c r="U170" s="151">
        <v>69</v>
      </c>
      <c r="V170" s="148">
        <f t="shared" si="18"/>
        <v>931</v>
      </c>
      <c r="W170" s="152">
        <f t="shared" si="19"/>
        <v>1360</v>
      </c>
      <c r="X170" s="140">
        <v>15</v>
      </c>
      <c r="Y170" s="138">
        <v>15</v>
      </c>
      <c r="Z170" s="138">
        <v>47</v>
      </c>
      <c r="AA170" s="143">
        <v>47</v>
      </c>
    </row>
    <row r="171" spans="2:27" ht="15" customHeight="1">
      <c r="B171" s="97" t="s">
        <v>15</v>
      </c>
      <c r="C171" s="20"/>
      <c r="D171" s="20"/>
      <c r="E171" s="33">
        <v>153</v>
      </c>
      <c r="F171" s="140">
        <v>174</v>
      </c>
      <c r="G171" s="141">
        <v>304</v>
      </c>
      <c r="H171" s="140">
        <v>40</v>
      </c>
      <c r="I171" s="138">
        <v>81</v>
      </c>
      <c r="J171" s="138">
        <v>2</v>
      </c>
      <c r="K171" s="138">
        <v>7</v>
      </c>
      <c r="L171" s="71">
        <f t="shared" si="16"/>
        <v>42</v>
      </c>
      <c r="M171" s="88">
        <f t="shared" si="17"/>
        <v>88</v>
      </c>
      <c r="N171" s="142">
        <v>17</v>
      </c>
      <c r="O171" s="138">
        <v>1</v>
      </c>
      <c r="P171" s="138">
        <v>93</v>
      </c>
      <c r="Q171" s="141">
        <v>111</v>
      </c>
      <c r="R171" s="140">
        <v>1049</v>
      </c>
      <c r="S171" s="143">
        <v>1557</v>
      </c>
      <c r="T171" s="147">
        <v>235</v>
      </c>
      <c r="U171" s="151">
        <v>140</v>
      </c>
      <c r="V171" s="148">
        <f t="shared" si="18"/>
        <v>827</v>
      </c>
      <c r="W171" s="152">
        <f t="shared" si="19"/>
        <v>1381</v>
      </c>
      <c r="X171" s="140">
        <v>12</v>
      </c>
      <c r="Y171" s="138">
        <v>12</v>
      </c>
      <c r="Z171" s="138">
        <v>74</v>
      </c>
      <c r="AA171" s="143">
        <v>74</v>
      </c>
    </row>
    <row r="172" spans="2:27" ht="15" customHeight="1">
      <c r="B172" s="97" t="s">
        <v>16</v>
      </c>
      <c r="C172" s="20" t="s">
        <v>63</v>
      </c>
      <c r="D172" s="20"/>
      <c r="E172" s="33">
        <v>155</v>
      </c>
      <c r="F172" s="140">
        <v>975</v>
      </c>
      <c r="G172" s="141">
        <v>1653</v>
      </c>
      <c r="H172" s="140">
        <v>150</v>
      </c>
      <c r="I172" s="138">
        <v>290</v>
      </c>
      <c r="J172" s="138">
        <v>7</v>
      </c>
      <c r="K172" s="138">
        <v>28</v>
      </c>
      <c r="L172" s="71">
        <f t="shared" si="16"/>
        <v>157</v>
      </c>
      <c r="M172" s="88">
        <f t="shared" si="17"/>
        <v>318</v>
      </c>
      <c r="N172" s="142">
        <v>382</v>
      </c>
      <c r="O172" s="138">
        <v>3</v>
      </c>
      <c r="P172" s="138">
        <v>207</v>
      </c>
      <c r="Q172" s="141">
        <v>593</v>
      </c>
      <c r="R172" s="140">
        <v>3733</v>
      </c>
      <c r="S172" s="143">
        <v>4995</v>
      </c>
      <c r="T172" s="147">
        <v>1035</v>
      </c>
      <c r="U172" s="151">
        <v>241</v>
      </c>
      <c r="V172" s="148">
        <f t="shared" si="18"/>
        <v>3207</v>
      </c>
      <c r="W172" s="152">
        <f t="shared" si="19"/>
        <v>4630</v>
      </c>
      <c r="X172" s="140">
        <v>45</v>
      </c>
      <c r="Y172" s="138">
        <v>45</v>
      </c>
      <c r="Z172" s="138">
        <v>191</v>
      </c>
      <c r="AA172" s="143">
        <v>191</v>
      </c>
    </row>
    <row r="173" spans="2:27" ht="15" customHeight="1">
      <c r="B173" s="97" t="s">
        <v>17</v>
      </c>
      <c r="C173" s="20" t="s">
        <v>63</v>
      </c>
      <c r="D173" s="20"/>
      <c r="E173" s="33">
        <v>156</v>
      </c>
      <c r="F173" s="140">
        <v>1970</v>
      </c>
      <c r="G173" s="141">
        <v>3740</v>
      </c>
      <c r="H173" s="140">
        <v>486</v>
      </c>
      <c r="I173" s="138">
        <v>991</v>
      </c>
      <c r="J173" s="138">
        <v>27</v>
      </c>
      <c r="K173" s="138">
        <v>88</v>
      </c>
      <c r="L173" s="71">
        <f t="shared" si="16"/>
        <v>513</v>
      </c>
      <c r="M173" s="88">
        <f t="shared" si="17"/>
        <v>1079</v>
      </c>
      <c r="N173" s="142">
        <v>65</v>
      </c>
      <c r="O173" s="138"/>
      <c r="P173" s="138">
        <v>204</v>
      </c>
      <c r="Q173" s="141">
        <v>269</v>
      </c>
      <c r="R173" s="140">
        <v>5004</v>
      </c>
      <c r="S173" s="143">
        <v>8039</v>
      </c>
      <c r="T173" s="147">
        <v>808</v>
      </c>
      <c r="U173" s="151">
        <v>317</v>
      </c>
      <c r="V173" s="148">
        <f t="shared" si="18"/>
        <v>4661</v>
      </c>
      <c r="W173" s="152">
        <f t="shared" si="19"/>
        <v>8262</v>
      </c>
      <c r="X173" s="140">
        <v>80</v>
      </c>
      <c r="Y173" s="138">
        <v>80</v>
      </c>
      <c r="Z173" s="138">
        <v>542</v>
      </c>
      <c r="AA173" s="143">
        <v>542</v>
      </c>
    </row>
    <row r="174" spans="2:27" ht="15" customHeight="1">
      <c r="B174" s="97" t="s">
        <v>18</v>
      </c>
      <c r="C174" s="20">
        <v>1</v>
      </c>
      <c r="D174" s="20" t="s">
        <v>75</v>
      </c>
      <c r="E174" s="107">
        <v>154</v>
      </c>
      <c r="F174" s="140">
        <v>83</v>
      </c>
      <c r="G174" s="141">
        <v>121</v>
      </c>
      <c r="H174" s="140">
        <v>11</v>
      </c>
      <c r="I174" s="138">
        <v>20</v>
      </c>
      <c r="J174" s="138"/>
      <c r="K174" s="138">
        <v>1</v>
      </c>
      <c r="L174" s="71">
        <f t="shared" si="16"/>
        <v>11</v>
      </c>
      <c r="M174" s="88">
        <f t="shared" si="17"/>
        <v>21</v>
      </c>
      <c r="N174" s="142">
        <v>15</v>
      </c>
      <c r="O174" s="138">
        <v>1</v>
      </c>
      <c r="P174" s="138">
        <v>25</v>
      </c>
      <c r="Q174" s="141">
        <v>41</v>
      </c>
      <c r="R174" s="140">
        <v>341</v>
      </c>
      <c r="S174" s="143">
        <v>501</v>
      </c>
      <c r="T174" s="147">
        <v>73</v>
      </c>
      <c r="U174" s="151">
        <v>46</v>
      </c>
      <c r="V174" s="148">
        <f t="shared" si="18"/>
        <v>274</v>
      </c>
      <c r="W174" s="152">
        <f t="shared" si="19"/>
        <v>444</v>
      </c>
      <c r="X174" s="140">
        <v>4</v>
      </c>
      <c r="Y174" s="138">
        <v>4</v>
      </c>
      <c r="Z174" s="138">
        <v>28</v>
      </c>
      <c r="AA174" s="143">
        <v>28</v>
      </c>
    </row>
    <row r="175" spans="2:27" ht="15" customHeight="1">
      <c r="B175" s="97" t="s">
        <v>19</v>
      </c>
      <c r="C175" s="20"/>
      <c r="D175" s="20"/>
      <c r="E175" s="107">
        <v>157</v>
      </c>
      <c r="F175" s="140">
        <v>5</v>
      </c>
      <c r="G175" s="141">
        <v>9</v>
      </c>
      <c r="H175" s="140">
        <v>3</v>
      </c>
      <c r="I175" s="138">
        <v>5</v>
      </c>
      <c r="J175" s="138"/>
      <c r="K175" s="138"/>
      <c r="L175" s="71">
        <f t="shared" si="16"/>
        <v>3</v>
      </c>
      <c r="M175" s="88">
        <f t="shared" si="17"/>
        <v>5</v>
      </c>
      <c r="N175" s="142">
        <v>1</v>
      </c>
      <c r="O175" s="138"/>
      <c r="P175" s="138">
        <v>6</v>
      </c>
      <c r="Q175" s="141">
        <v>7</v>
      </c>
      <c r="R175" s="140">
        <v>45</v>
      </c>
      <c r="S175" s="143">
        <v>68</v>
      </c>
      <c r="T175" s="147">
        <v>10</v>
      </c>
      <c r="U175" s="151">
        <v>7</v>
      </c>
      <c r="V175" s="148">
        <f t="shared" si="18"/>
        <v>38</v>
      </c>
      <c r="W175" s="152">
        <f t="shared" si="19"/>
        <v>63</v>
      </c>
      <c r="X175" s="140">
        <v>1</v>
      </c>
      <c r="Y175" s="138">
        <v>1</v>
      </c>
      <c r="Z175" s="138">
        <v>5</v>
      </c>
      <c r="AA175" s="143">
        <v>5</v>
      </c>
    </row>
    <row r="176" spans="2:27" ht="15" customHeight="1">
      <c r="B176" s="97" t="s">
        <v>20</v>
      </c>
      <c r="C176" s="20"/>
      <c r="D176" s="20"/>
      <c r="E176" s="33">
        <v>158</v>
      </c>
      <c r="F176" s="140">
        <v>59</v>
      </c>
      <c r="G176" s="141">
        <v>85</v>
      </c>
      <c r="H176" s="140">
        <v>9</v>
      </c>
      <c r="I176" s="138">
        <v>17</v>
      </c>
      <c r="J176" s="138"/>
      <c r="K176" s="138"/>
      <c r="L176" s="71">
        <f t="shared" si="16"/>
        <v>9</v>
      </c>
      <c r="M176" s="88">
        <f t="shared" si="17"/>
        <v>17</v>
      </c>
      <c r="N176" s="142">
        <v>5</v>
      </c>
      <c r="O176" s="138"/>
      <c r="P176" s="138">
        <v>34</v>
      </c>
      <c r="Q176" s="141">
        <v>39</v>
      </c>
      <c r="R176" s="140">
        <v>453</v>
      </c>
      <c r="S176" s="143">
        <v>594</v>
      </c>
      <c r="T176" s="147">
        <v>104</v>
      </c>
      <c r="U176" s="151">
        <v>57</v>
      </c>
      <c r="V176" s="148">
        <f t="shared" si="18"/>
        <v>340</v>
      </c>
      <c r="W176" s="152">
        <f t="shared" si="19"/>
        <v>489</v>
      </c>
      <c r="X176" s="140">
        <v>4</v>
      </c>
      <c r="Y176" s="138">
        <v>4</v>
      </c>
      <c r="Z176" s="138">
        <v>26</v>
      </c>
      <c r="AA176" s="143">
        <v>26</v>
      </c>
    </row>
    <row r="177" spans="2:27" ht="15" customHeight="1">
      <c r="B177" s="97" t="s">
        <v>21</v>
      </c>
      <c r="C177" s="20"/>
      <c r="D177" s="20"/>
      <c r="E177" s="33">
        <v>159</v>
      </c>
      <c r="F177" s="140">
        <v>328</v>
      </c>
      <c r="G177" s="141">
        <v>505</v>
      </c>
      <c r="H177" s="140">
        <v>51</v>
      </c>
      <c r="I177" s="138">
        <v>109</v>
      </c>
      <c r="J177" s="138">
        <v>2</v>
      </c>
      <c r="K177" s="138">
        <v>8</v>
      </c>
      <c r="L177" s="71">
        <f t="shared" si="16"/>
        <v>53</v>
      </c>
      <c r="M177" s="88">
        <f t="shared" si="17"/>
        <v>117</v>
      </c>
      <c r="N177" s="142">
        <v>32</v>
      </c>
      <c r="O177" s="138"/>
      <c r="P177" s="138">
        <v>51</v>
      </c>
      <c r="Q177" s="141">
        <v>84</v>
      </c>
      <c r="R177" s="140">
        <v>1415</v>
      </c>
      <c r="S177" s="143">
        <v>1881</v>
      </c>
      <c r="T177" s="147">
        <v>362</v>
      </c>
      <c r="U177" s="151">
        <v>168</v>
      </c>
      <c r="V177" s="148">
        <f t="shared" si="18"/>
        <v>1022</v>
      </c>
      <c r="W177" s="152">
        <f t="shared" si="19"/>
        <v>1552</v>
      </c>
      <c r="X177" s="140">
        <v>18</v>
      </c>
      <c r="Y177" s="138">
        <v>18</v>
      </c>
      <c r="Z177" s="138">
        <v>69</v>
      </c>
      <c r="AA177" s="143">
        <v>69</v>
      </c>
    </row>
    <row r="178" spans="2:27" ht="15" customHeight="1">
      <c r="B178" s="97" t="s">
        <v>22</v>
      </c>
      <c r="C178" s="20">
        <v>1</v>
      </c>
      <c r="D178" s="20" t="s">
        <v>47</v>
      </c>
      <c r="E178" s="107">
        <v>160</v>
      </c>
      <c r="F178" s="140">
        <v>31</v>
      </c>
      <c r="G178" s="141">
        <v>59</v>
      </c>
      <c r="H178" s="140">
        <v>9</v>
      </c>
      <c r="I178" s="138">
        <v>17</v>
      </c>
      <c r="J178" s="138"/>
      <c r="K178" s="138">
        <v>2</v>
      </c>
      <c r="L178" s="71">
        <f t="shared" si="16"/>
        <v>9</v>
      </c>
      <c r="M178" s="88">
        <f t="shared" si="17"/>
        <v>19</v>
      </c>
      <c r="N178" s="142">
        <v>8</v>
      </c>
      <c r="O178" s="138"/>
      <c r="P178" s="138">
        <v>27</v>
      </c>
      <c r="Q178" s="141">
        <v>35</v>
      </c>
      <c r="R178" s="140">
        <v>160</v>
      </c>
      <c r="S178" s="143">
        <v>273</v>
      </c>
      <c r="T178" s="147">
        <v>25</v>
      </c>
      <c r="U178" s="151">
        <v>17</v>
      </c>
      <c r="V178" s="148">
        <f t="shared" si="18"/>
        <v>162</v>
      </c>
      <c r="W178" s="152">
        <f t="shared" si="19"/>
        <v>285</v>
      </c>
      <c r="X178" s="140">
        <v>2</v>
      </c>
      <c r="Y178" s="138">
        <v>2</v>
      </c>
      <c r="Z178" s="138">
        <v>13</v>
      </c>
      <c r="AA178" s="143">
        <v>13</v>
      </c>
    </row>
    <row r="179" spans="2:27" ht="15" customHeight="1">
      <c r="B179" s="97" t="s">
        <v>23</v>
      </c>
      <c r="C179" s="20"/>
      <c r="D179" s="20"/>
      <c r="E179" s="33">
        <v>161</v>
      </c>
      <c r="F179" s="140">
        <v>14</v>
      </c>
      <c r="G179" s="141">
        <v>25</v>
      </c>
      <c r="H179" s="140"/>
      <c r="I179" s="138">
        <v>1</v>
      </c>
      <c r="J179" s="138"/>
      <c r="K179" s="138">
        <v>1</v>
      </c>
      <c r="L179" s="71">
        <f aca="true" t="shared" si="20" ref="L179:L188">SUM(H179,J179)</f>
        <v>0</v>
      </c>
      <c r="M179" s="88">
        <f aca="true" t="shared" si="21" ref="M179:M188">SUM(I179,K179)</f>
        <v>2</v>
      </c>
      <c r="N179" s="142"/>
      <c r="O179" s="138"/>
      <c r="P179" s="138">
        <v>9</v>
      </c>
      <c r="Q179" s="141">
        <v>9</v>
      </c>
      <c r="R179" s="140">
        <v>468</v>
      </c>
      <c r="S179" s="143">
        <v>529</v>
      </c>
      <c r="T179" s="147">
        <v>170</v>
      </c>
      <c r="U179" s="151">
        <v>23</v>
      </c>
      <c r="V179" s="148">
        <f aca="true" t="shared" si="22" ref="V179:V188">SUM(L179+Q179+R179-T179-U179)</f>
        <v>284</v>
      </c>
      <c r="W179" s="152">
        <f aca="true" t="shared" si="23" ref="W179:W188">SUM(M179+Q179+S179-T179-U179)</f>
        <v>347</v>
      </c>
      <c r="X179" s="140">
        <v>1</v>
      </c>
      <c r="Y179" s="138">
        <v>1</v>
      </c>
      <c r="Z179" s="138">
        <v>11</v>
      </c>
      <c r="AA179" s="143">
        <v>11</v>
      </c>
    </row>
    <row r="180" spans="2:27" ht="15" customHeight="1">
      <c r="B180" s="97" t="s">
        <v>24</v>
      </c>
      <c r="C180" s="20">
        <v>1</v>
      </c>
      <c r="D180" s="20" t="s">
        <v>52</v>
      </c>
      <c r="E180" s="33">
        <v>162</v>
      </c>
      <c r="F180" s="140">
        <v>307</v>
      </c>
      <c r="G180" s="141">
        <v>608</v>
      </c>
      <c r="H180" s="140">
        <v>63</v>
      </c>
      <c r="I180" s="138">
        <v>146</v>
      </c>
      <c r="J180" s="138">
        <v>5</v>
      </c>
      <c r="K180" s="138">
        <v>25</v>
      </c>
      <c r="L180" s="71">
        <f t="shared" si="20"/>
        <v>68</v>
      </c>
      <c r="M180" s="88">
        <f t="shared" si="21"/>
        <v>171</v>
      </c>
      <c r="N180" s="142">
        <v>6</v>
      </c>
      <c r="O180" s="138"/>
      <c r="P180" s="138">
        <v>75</v>
      </c>
      <c r="Q180" s="141">
        <v>82</v>
      </c>
      <c r="R180" s="140">
        <v>1050</v>
      </c>
      <c r="S180" s="143">
        <v>1768</v>
      </c>
      <c r="T180" s="147">
        <v>204</v>
      </c>
      <c r="U180" s="151">
        <v>95</v>
      </c>
      <c r="V180" s="148">
        <f t="shared" si="22"/>
        <v>901</v>
      </c>
      <c r="W180" s="152">
        <f t="shared" si="23"/>
        <v>1722</v>
      </c>
      <c r="X180" s="140">
        <v>20</v>
      </c>
      <c r="Y180" s="138">
        <v>20</v>
      </c>
      <c r="Z180" s="138">
        <v>84</v>
      </c>
      <c r="AA180" s="143">
        <v>84</v>
      </c>
    </row>
    <row r="181" spans="2:27" ht="15" customHeight="1">
      <c r="B181" s="97" t="s">
        <v>25</v>
      </c>
      <c r="C181" s="20"/>
      <c r="D181" s="20"/>
      <c r="E181" s="107">
        <v>163</v>
      </c>
      <c r="F181" s="140">
        <v>1366</v>
      </c>
      <c r="G181" s="141">
        <v>2826</v>
      </c>
      <c r="H181" s="140">
        <v>306</v>
      </c>
      <c r="I181" s="138">
        <v>655</v>
      </c>
      <c r="J181" s="138">
        <v>21</v>
      </c>
      <c r="K181" s="138">
        <v>75</v>
      </c>
      <c r="L181" s="71">
        <f t="shared" si="20"/>
        <v>327</v>
      </c>
      <c r="M181" s="88">
        <f t="shared" si="21"/>
        <v>730</v>
      </c>
      <c r="N181" s="142">
        <v>33</v>
      </c>
      <c r="O181" s="138"/>
      <c r="P181" s="138">
        <v>109</v>
      </c>
      <c r="Q181" s="141">
        <v>143</v>
      </c>
      <c r="R181" s="140">
        <v>3393</v>
      </c>
      <c r="S181" s="143">
        <v>5550</v>
      </c>
      <c r="T181" s="147">
        <v>595</v>
      </c>
      <c r="U181" s="151">
        <v>154</v>
      </c>
      <c r="V181" s="148">
        <f t="shared" si="22"/>
        <v>3114</v>
      </c>
      <c r="W181" s="152">
        <f t="shared" si="23"/>
        <v>5674</v>
      </c>
      <c r="X181" s="140">
        <v>37</v>
      </c>
      <c r="Y181" s="138">
        <v>37</v>
      </c>
      <c r="Z181" s="138">
        <v>353</v>
      </c>
      <c r="AA181" s="143">
        <v>353</v>
      </c>
    </row>
    <row r="182" spans="2:27" ht="15" customHeight="1">
      <c r="B182" s="97" t="s">
        <v>26</v>
      </c>
      <c r="C182" s="20"/>
      <c r="D182" s="20"/>
      <c r="E182" s="33">
        <v>164</v>
      </c>
      <c r="F182" s="140">
        <v>446</v>
      </c>
      <c r="G182" s="141">
        <v>783</v>
      </c>
      <c r="H182" s="140">
        <v>128</v>
      </c>
      <c r="I182" s="138">
        <v>231</v>
      </c>
      <c r="J182" s="138">
        <v>6</v>
      </c>
      <c r="K182" s="138">
        <v>20</v>
      </c>
      <c r="L182" s="71">
        <f t="shared" si="20"/>
        <v>134</v>
      </c>
      <c r="M182" s="88">
        <f t="shared" si="21"/>
        <v>251</v>
      </c>
      <c r="N182" s="142">
        <v>54</v>
      </c>
      <c r="O182" s="138"/>
      <c r="P182" s="138">
        <v>89</v>
      </c>
      <c r="Q182" s="141">
        <v>145</v>
      </c>
      <c r="R182" s="140">
        <v>1967</v>
      </c>
      <c r="S182" s="143">
        <v>2785</v>
      </c>
      <c r="T182" s="147">
        <v>407</v>
      </c>
      <c r="U182" s="151">
        <v>131</v>
      </c>
      <c r="V182" s="148">
        <f t="shared" si="22"/>
        <v>1708</v>
      </c>
      <c r="W182" s="152">
        <f t="shared" si="23"/>
        <v>2643</v>
      </c>
      <c r="X182" s="140">
        <v>21</v>
      </c>
      <c r="Y182" s="138">
        <v>21</v>
      </c>
      <c r="Z182" s="138">
        <v>146</v>
      </c>
      <c r="AA182" s="143">
        <v>146</v>
      </c>
    </row>
    <row r="183" spans="2:27" ht="15" customHeight="1">
      <c r="B183" s="97" t="s">
        <v>27</v>
      </c>
      <c r="C183" s="20"/>
      <c r="D183" s="20"/>
      <c r="E183" s="33">
        <v>165</v>
      </c>
      <c r="F183" s="140">
        <v>154</v>
      </c>
      <c r="G183" s="141">
        <v>280</v>
      </c>
      <c r="H183" s="140">
        <v>31</v>
      </c>
      <c r="I183" s="138">
        <v>71</v>
      </c>
      <c r="J183" s="138">
        <v>3</v>
      </c>
      <c r="K183" s="138">
        <v>9</v>
      </c>
      <c r="L183" s="71">
        <f t="shared" si="20"/>
        <v>34</v>
      </c>
      <c r="M183" s="88">
        <f t="shared" si="21"/>
        <v>80</v>
      </c>
      <c r="N183" s="142">
        <v>10</v>
      </c>
      <c r="O183" s="138"/>
      <c r="P183" s="138">
        <v>18</v>
      </c>
      <c r="Q183" s="141">
        <v>28</v>
      </c>
      <c r="R183" s="140">
        <v>581</v>
      </c>
      <c r="S183" s="143">
        <v>984</v>
      </c>
      <c r="T183" s="147">
        <v>99</v>
      </c>
      <c r="U183" s="151">
        <v>44</v>
      </c>
      <c r="V183" s="148">
        <f t="shared" si="22"/>
        <v>500</v>
      </c>
      <c r="W183" s="152">
        <f t="shared" si="23"/>
        <v>949</v>
      </c>
      <c r="X183" s="140">
        <v>7</v>
      </c>
      <c r="Y183" s="138">
        <v>7</v>
      </c>
      <c r="Z183" s="138">
        <v>36</v>
      </c>
      <c r="AA183" s="143">
        <v>36</v>
      </c>
    </row>
    <row r="184" spans="2:27" ht="15" customHeight="1">
      <c r="B184" s="97" t="s">
        <v>28</v>
      </c>
      <c r="C184" s="20"/>
      <c r="D184" s="20"/>
      <c r="E184" s="107">
        <v>166</v>
      </c>
      <c r="F184" s="140">
        <v>93</v>
      </c>
      <c r="G184" s="141">
        <v>164</v>
      </c>
      <c r="H184" s="140">
        <v>29</v>
      </c>
      <c r="I184" s="138">
        <v>48</v>
      </c>
      <c r="J184" s="138">
        <v>1</v>
      </c>
      <c r="K184" s="138">
        <v>6</v>
      </c>
      <c r="L184" s="71">
        <f t="shared" si="20"/>
        <v>30</v>
      </c>
      <c r="M184" s="88">
        <f t="shared" si="21"/>
        <v>54</v>
      </c>
      <c r="N184" s="142">
        <v>5</v>
      </c>
      <c r="O184" s="138"/>
      <c r="P184" s="138">
        <v>50</v>
      </c>
      <c r="Q184" s="141">
        <v>55</v>
      </c>
      <c r="R184" s="140">
        <v>783</v>
      </c>
      <c r="S184" s="143">
        <v>1158</v>
      </c>
      <c r="T184" s="147">
        <v>151</v>
      </c>
      <c r="U184" s="151">
        <v>100</v>
      </c>
      <c r="V184" s="148">
        <f t="shared" si="22"/>
        <v>617</v>
      </c>
      <c r="W184" s="152">
        <f t="shared" si="23"/>
        <v>1016</v>
      </c>
      <c r="X184" s="140">
        <v>5</v>
      </c>
      <c r="Y184" s="138">
        <v>5</v>
      </c>
      <c r="Z184" s="138">
        <v>34</v>
      </c>
      <c r="AA184" s="143">
        <v>34</v>
      </c>
    </row>
    <row r="185" spans="2:27" ht="15" customHeight="1">
      <c r="B185" s="97" t="s">
        <v>29</v>
      </c>
      <c r="C185" s="20"/>
      <c r="D185" s="20"/>
      <c r="E185" s="33">
        <v>167</v>
      </c>
      <c r="F185" s="140">
        <v>26</v>
      </c>
      <c r="G185" s="141">
        <v>34</v>
      </c>
      <c r="H185" s="140">
        <v>7</v>
      </c>
      <c r="I185" s="138">
        <v>9</v>
      </c>
      <c r="J185" s="138"/>
      <c r="K185" s="138"/>
      <c r="L185" s="71">
        <f t="shared" si="20"/>
        <v>7</v>
      </c>
      <c r="M185" s="88">
        <f t="shared" si="21"/>
        <v>9</v>
      </c>
      <c r="N185" s="142">
        <v>4</v>
      </c>
      <c r="O185" s="138"/>
      <c r="P185" s="138">
        <v>6</v>
      </c>
      <c r="Q185" s="141">
        <v>10</v>
      </c>
      <c r="R185" s="140">
        <v>214</v>
      </c>
      <c r="S185" s="143">
        <v>277</v>
      </c>
      <c r="T185" s="147">
        <v>43</v>
      </c>
      <c r="U185" s="151">
        <v>26</v>
      </c>
      <c r="V185" s="148">
        <f t="shared" si="22"/>
        <v>162</v>
      </c>
      <c r="W185" s="152">
        <f t="shared" si="23"/>
        <v>227</v>
      </c>
      <c r="X185" s="140"/>
      <c r="Y185" s="138"/>
      <c r="Z185" s="138">
        <v>9</v>
      </c>
      <c r="AA185" s="143">
        <v>9</v>
      </c>
    </row>
    <row r="186" spans="2:27" ht="15" customHeight="1">
      <c r="B186" s="97" t="s">
        <v>30</v>
      </c>
      <c r="C186" s="20">
        <v>1</v>
      </c>
      <c r="D186" s="20" t="s">
        <v>52</v>
      </c>
      <c r="E186" s="33">
        <v>168</v>
      </c>
      <c r="F186" s="140">
        <v>26</v>
      </c>
      <c r="G186" s="141">
        <v>42</v>
      </c>
      <c r="H186" s="140">
        <v>3</v>
      </c>
      <c r="I186" s="138">
        <v>5</v>
      </c>
      <c r="J186" s="138"/>
      <c r="K186" s="138"/>
      <c r="L186" s="71">
        <f t="shared" si="20"/>
        <v>3</v>
      </c>
      <c r="M186" s="88">
        <f t="shared" si="21"/>
        <v>5</v>
      </c>
      <c r="N186" s="142">
        <v>7</v>
      </c>
      <c r="O186" s="138"/>
      <c r="P186" s="138">
        <v>20</v>
      </c>
      <c r="Q186" s="141">
        <v>27</v>
      </c>
      <c r="R186" s="140">
        <v>249</v>
      </c>
      <c r="S186" s="143">
        <v>405</v>
      </c>
      <c r="T186" s="147">
        <v>50</v>
      </c>
      <c r="U186" s="151">
        <v>23</v>
      </c>
      <c r="V186" s="148">
        <f t="shared" si="22"/>
        <v>206</v>
      </c>
      <c r="W186" s="152">
        <f t="shared" si="23"/>
        <v>364</v>
      </c>
      <c r="X186" s="140">
        <v>2</v>
      </c>
      <c r="Y186" s="138">
        <v>2</v>
      </c>
      <c r="Z186" s="138">
        <v>13</v>
      </c>
      <c r="AA186" s="143">
        <v>13</v>
      </c>
    </row>
    <row r="187" spans="2:27" ht="15" customHeight="1">
      <c r="B187" s="97" t="s">
        <v>31</v>
      </c>
      <c r="C187" s="20">
        <v>1</v>
      </c>
      <c r="D187" s="20" t="s">
        <v>47</v>
      </c>
      <c r="E187" s="107">
        <v>169</v>
      </c>
      <c r="F187" s="140">
        <v>30</v>
      </c>
      <c r="G187" s="141">
        <v>50</v>
      </c>
      <c r="H187" s="140">
        <v>8</v>
      </c>
      <c r="I187" s="138">
        <v>11</v>
      </c>
      <c r="J187" s="138"/>
      <c r="K187" s="138">
        <v>2</v>
      </c>
      <c r="L187" s="71">
        <f t="shared" si="20"/>
        <v>8</v>
      </c>
      <c r="M187" s="88">
        <f t="shared" si="21"/>
        <v>13</v>
      </c>
      <c r="N187" s="142"/>
      <c r="O187" s="138"/>
      <c r="P187" s="138"/>
      <c r="Q187" s="141">
        <v>1</v>
      </c>
      <c r="R187" s="140">
        <v>211</v>
      </c>
      <c r="S187" s="143">
        <v>420</v>
      </c>
      <c r="T187" s="147">
        <v>26</v>
      </c>
      <c r="U187" s="151">
        <v>20</v>
      </c>
      <c r="V187" s="148">
        <f t="shared" si="22"/>
        <v>174</v>
      </c>
      <c r="W187" s="152">
        <f t="shared" si="23"/>
        <v>388</v>
      </c>
      <c r="X187" s="140">
        <v>1</v>
      </c>
      <c r="Y187" s="138">
        <v>1</v>
      </c>
      <c r="Z187" s="138">
        <v>10</v>
      </c>
      <c r="AA187" s="143">
        <v>10</v>
      </c>
    </row>
    <row r="188" spans="2:27" ht="15" customHeight="1">
      <c r="B188" s="98" t="s">
        <v>32</v>
      </c>
      <c r="C188" s="22"/>
      <c r="D188" s="22"/>
      <c r="E188" s="33"/>
      <c r="F188" s="140"/>
      <c r="G188" s="141"/>
      <c r="H188" s="140"/>
      <c r="I188" s="138"/>
      <c r="J188" s="138"/>
      <c r="K188" s="138"/>
      <c r="L188" s="71">
        <f t="shared" si="20"/>
        <v>0</v>
      </c>
      <c r="M188" s="88">
        <f t="shared" si="21"/>
        <v>0</v>
      </c>
      <c r="N188" s="142"/>
      <c r="O188" s="138"/>
      <c r="P188" s="138">
        <v>1</v>
      </c>
      <c r="Q188" s="141">
        <v>1</v>
      </c>
      <c r="R188" s="140">
        <v>411</v>
      </c>
      <c r="S188" s="143">
        <v>411</v>
      </c>
      <c r="T188" s="147">
        <v>6</v>
      </c>
      <c r="U188" s="151">
        <v>1</v>
      </c>
      <c r="V188" s="148">
        <f t="shared" si="22"/>
        <v>405</v>
      </c>
      <c r="W188" s="152">
        <f t="shared" si="23"/>
        <v>405</v>
      </c>
      <c r="X188" s="140"/>
      <c r="Y188" s="138"/>
      <c r="Z188" s="138"/>
      <c r="AA188" s="143"/>
    </row>
    <row r="189" spans="2:27" ht="15" customHeight="1" thickBot="1">
      <c r="B189" s="99" t="s">
        <v>33</v>
      </c>
      <c r="C189" s="36"/>
      <c r="D189" s="36"/>
      <c r="E189" s="108"/>
      <c r="F189" s="160">
        <v>93825</v>
      </c>
      <c r="G189" s="161">
        <v>180941</v>
      </c>
      <c r="H189" s="160">
        <v>21452</v>
      </c>
      <c r="I189" s="162">
        <v>45512</v>
      </c>
      <c r="J189" s="162">
        <v>1337</v>
      </c>
      <c r="K189" s="162">
        <v>4742</v>
      </c>
      <c r="L189" s="162">
        <v>22789</v>
      </c>
      <c r="M189" s="163">
        <v>50254</v>
      </c>
      <c r="N189" s="164">
        <v>5271</v>
      </c>
      <c r="O189" s="162">
        <v>99</v>
      </c>
      <c r="P189" s="162">
        <v>12060</v>
      </c>
      <c r="Q189" s="161">
        <v>17431</v>
      </c>
      <c r="R189" s="160">
        <v>246921</v>
      </c>
      <c r="S189" s="163">
        <v>386557</v>
      </c>
      <c r="T189" s="165">
        <v>46550</v>
      </c>
      <c r="U189" s="166">
        <v>15665</v>
      </c>
      <c r="V189" s="164">
        <v>224926</v>
      </c>
      <c r="W189" s="161">
        <v>392027</v>
      </c>
      <c r="X189" s="160">
        <v>4162</v>
      </c>
      <c r="Y189" s="162">
        <v>4170</v>
      </c>
      <c r="Z189" s="162">
        <v>27496</v>
      </c>
      <c r="AA189" s="163">
        <v>27509</v>
      </c>
    </row>
    <row r="190" ht="15" customHeight="1">
      <c r="B190" s="1" t="s">
        <v>239</v>
      </c>
    </row>
  </sheetData>
  <mergeCells count="10">
    <mergeCell ref="B6:N6"/>
    <mergeCell ref="B17:E17"/>
    <mergeCell ref="B13:E13"/>
    <mergeCell ref="B14:E14"/>
    <mergeCell ref="B15:E15"/>
    <mergeCell ref="B16:E16"/>
    <mergeCell ref="B7:E8"/>
    <mergeCell ref="B10:E10"/>
    <mergeCell ref="B11:E11"/>
    <mergeCell ref="B12:E12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U191"/>
  <sheetViews>
    <sheetView workbookViewId="0" topLeftCell="A1">
      <selection activeCell="C1" sqref="C1"/>
    </sheetView>
  </sheetViews>
  <sheetFormatPr defaultColWidth="9.00390625" defaultRowHeight="15" customHeight="1"/>
  <cols>
    <col min="1" max="16384" width="12.75390625" style="167" customWidth="1"/>
  </cols>
  <sheetData>
    <row r="2" ht="15" customHeight="1">
      <c r="I2" s="1"/>
    </row>
    <row r="3" ht="15" customHeight="1">
      <c r="I3" s="1"/>
    </row>
    <row r="4" ht="15" customHeight="1">
      <c r="I4" s="1"/>
    </row>
    <row r="5" ht="15" customHeight="1">
      <c r="G5" s="168"/>
    </row>
    <row r="6" ht="15" customHeight="1" thickBot="1"/>
    <row r="7" spans="2:21" ht="42.75" customHeight="1" thickBot="1">
      <c r="B7" s="208" t="s">
        <v>104</v>
      </c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10"/>
      <c r="O7" s="1"/>
      <c r="P7" s="1"/>
      <c r="Q7" s="1"/>
      <c r="R7" s="1"/>
      <c r="S7" s="1"/>
      <c r="T7" s="1"/>
      <c r="U7" s="1"/>
    </row>
    <row r="8" spans="2:21" ht="15" customHeight="1">
      <c r="B8" s="193" t="s">
        <v>199</v>
      </c>
      <c r="C8" s="194"/>
      <c r="D8" s="194"/>
      <c r="E8" s="195"/>
      <c r="F8" s="9" t="s">
        <v>180</v>
      </c>
      <c r="G8" s="10"/>
      <c r="H8" s="9" t="s">
        <v>186</v>
      </c>
      <c r="I8" s="10"/>
      <c r="J8" s="10"/>
      <c r="K8" s="10"/>
      <c r="L8" s="10"/>
      <c r="M8" s="10"/>
      <c r="N8" s="9" t="s">
        <v>181</v>
      </c>
      <c r="O8" s="10"/>
      <c r="P8" s="10"/>
      <c r="Q8" s="10"/>
      <c r="R8" s="9" t="s">
        <v>190</v>
      </c>
      <c r="S8" s="10"/>
      <c r="T8" s="10"/>
      <c r="U8" s="10"/>
    </row>
    <row r="9" spans="2:21" ht="15" customHeight="1">
      <c r="B9" s="196"/>
      <c r="C9" s="197"/>
      <c r="D9" s="197"/>
      <c r="E9" s="198"/>
      <c r="F9" s="110"/>
      <c r="G9" s="105"/>
      <c r="H9" s="68" t="s">
        <v>178</v>
      </c>
      <c r="I9" s="69"/>
      <c r="J9" s="69" t="s">
        <v>179</v>
      </c>
      <c r="K9" s="69"/>
      <c r="L9" s="69" t="s">
        <v>177</v>
      </c>
      <c r="M9" s="70"/>
      <c r="N9" s="110"/>
      <c r="O9" s="105"/>
      <c r="P9" s="105"/>
      <c r="Q9" s="105"/>
      <c r="R9" s="68" t="s">
        <v>187</v>
      </c>
      <c r="S9" s="69"/>
      <c r="T9" s="69" t="s">
        <v>188</v>
      </c>
      <c r="U9" s="69"/>
    </row>
    <row r="10" spans="2:21" ht="15" customHeight="1" thickBot="1">
      <c r="B10" s="5"/>
      <c r="C10" s="6"/>
      <c r="D10" s="6"/>
      <c r="E10" s="7"/>
      <c r="F10" s="49" t="s">
        <v>172</v>
      </c>
      <c r="G10" s="124" t="s">
        <v>173</v>
      </c>
      <c r="H10" s="129" t="s">
        <v>172</v>
      </c>
      <c r="I10" s="130" t="s">
        <v>173</v>
      </c>
      <c r="J10" s="130" t="s">
        <v>172</v>
      </c>
      <c r="K10" s="130" t="s">
        <v>173</v>
      </c>
      <c r="L10" s="130" t="s">
        <v>172</v>
      </c>
      <c r="M10" s="131" t="s">
        <v>173</v>
      </c>
      <c r="N10" s="49" t="s">
        <v>174</v>
      </c>
      <c r="O10" s="51" t="s">
        <v>175</v>
      </c>
      <c r="P10" s="51" t="s">
        <v>176</v>
      </c>
      <c r="Q10" s="124" t="s">
        <v>177</v>
      </c>
      <c r="R10" s="49" t="s">
        <v>172</v>
      </c>
      <c r="S10" s="51" t="s">
        <v>173</v>
      </c>
      <c r="T10" s="51" t="s">
        <v>172</v>
      </c>
      <c r="U10" s="51" t="s">
        <v>173</v>
      </c>
    </row>
    <row r="11" spans="2:21" ht="15" customHeight="1">
      <c r="B11" s="225" t="s">
        <v>42</v>
      </c>
      <c r="C11" s="225"/>
      <c r="D11" s="225"/>
      <c r="E11" s="225"/>
      <c r="F11" s="89">
        <v>3070</v>
      </c>
      <c r="G11" s="92">
        <v>5545</v>
      </c>
      <c r="H11" s="93">
        <v>546</v>
      </c>
      <c r="I11" s="91">
        <v>1088</v>
      </c>
      <c r="J11" s="91">
        <v>31</v>
      </c>
      <c r="K11" s="91">
        <v>142</v>
      </c>
      <c r="L11" s="91">
        <v>577</v>
      </c>
      <c r="M11" s="92">
        <v>1230</v>
      </c>
      <c r="N11" s="93">
        <v>241</v>
      </c>
      <c r="O11" s="91">
        <v>10</v>
      </c>
      <c r="P11" s="91">
        <v>789</v>
      </c>
      <c r="Q11" s="92">
        <v>1059</v>
      </c>
      <c r="R11" s="93">
        <v>136</v>
      </c>
      <c r="S11" s="91">
        <v>136</v>
      </c>
      <c r="T11" s="91">
        <v>1168</v>
      </c>
      <c r="U11" s="92">
        <v>1168</v>
      </c>
    </row>
    <row r="12" spans="2:21" ht="15" customHeight="1">
      <c r="B12" s="224" t="s">
        <v>200</v>
      </c>
      <c r="C12" s="224"/>
      <c r="D12" s="224"/>
      <c r="E12" s="224"/>
      <c r="F12" s="123">
        <v>96090</v>
      </c>
      <c r="G12" s="86">
        <v>183046</v>
      </c>
      <c r="H12" s="83">
        <v>20162</v>
      </c>
      <c r="I12" s="75">
        <v>42286</v>
      </c>
      <c r="J12" s="75">
        <v>1334</v>
      </c>
      <c r="K12" s="75">
        <v>4658</v>
      </c>
      <c r="L12" s="75">
        <v>21496</v>
      </c>
      <c r="M12" s="86">
        <v>46944</v>
      </c>
      <c r="N12" s="83">
        <v>4787</v>
      </c>
      <c r="O12" s="75">
        <v>83</v>
      </c>
      <c r="P12" s="75">
        <v>10581</v>
      </c>
      <c r="Q12" s="86">
        <v>15433</v>
      </c>
      <c r="R12" s="83">
        <v>3933</v>
      </c>
      <c r="S12" s="75">
        <v>3940</v>
      </c>
      <c r="T12" s="75">
        <v>28657</v>
      </c>
      <c r="U12" s="86">
        <v>28672</v>
      </c>
    </row>
    <row r="13" spans="2:21" ht="15" customHeight="1">
      <c r="B13" s="224" t="s">
        <v>201</v>
      </c>
      <c r="C13" s="224"/>
      <c r="D13" s="224"/>
      <c r="E13" s="224"/>
      <c r="F13" s="123">
        <v>70555</v>
      </c>
      <c r="G13" s="86">
        <v>136817</v>
      </c>
      <c r="H13" s="83">
        <v>15076</v>
      </c>
      <c r="I13" s="75">
        <v>31965</v>
      </c>
      <c r="J13" s="75">
        <v>959</v>
      </c>
      <c r="K13" s="75">
        <v>3406</v>
      </c>
      <c r="L13" s="75">
        <v>16035</v>
      </c>
      <c r="M13" s="86">
        <v>35371</v>
      </c>
      <c r="N13" s="83">
        <v>3217</v>
      </c>
      <c r="O13" s="75">
        <v>26</v>
      </c>
      <c r="P13" s="75">
        <v>6440</v>
      </c>
      <c r="Q13" s="86">
        <v>9696</v>
      </c>
      <c r="R13" s="83">
        <v>2664</v>
      </c>
      <c r="S13" s="75">
        <v>2667</v>
      </c>
      <c r="T13" s="75">
        <v>20812</v>
      </c>
      <c r="U13" s="86">
        <v>20819</v>
      </c>
    </row>
    <row r="14" spans="2:21" ht="15" customHeight="1">
      <c r="B14" s="224" t="s">
        <v>202</v>
      </c>
      <c r="C14" s="224"/>
      <c r="D14" s="224"/>
      <c r="E14" s="224"/>
      <c r="F14" s="123">
        <v>25535</v>
      </c>
      <c r="G14" s="86">
        <v>46229</v>
      </c>
      <c r="H14" s="83">
        <v>5086</v>
      </c>
      <c r="I14" s="75">
        <v>10321</v>
      </c>
      <c r="J14" s="75">
        <v>375</v>
      </c>
      <c r="K14" s="75">
        <v>1252</v>
      </c>
      <c r="L14" s="75">
        <v>5461</v>
      </c>
      <c r="M14" s="86">
        <v>11573</v>
      </c>
      <c r="N14" s="83">
        <v>1570</v>
      </c>
      <c r="O14" s="75">
        <v>57</v>
      </c>
      <c r="P14" s="75">
        <v>4141</v>
      </c>
      <c r="Q14" s="86">
        <v>5737</v>
      </c>
      <c r="R14" s="83">
        <v>1269</v>
      </c>
      <c r="S14" s="75">
        <v>1273</v>
      </c>
      <c r="T14" s="75">
        <v>7845</v>
      </c>
      <c r="U14" s="86">
        <v>7853</v>
      </c>
    </row>
    <row r="15" spans="2:21" ht="15" customHeight="1">
      <c r="B15" s="224" t="s">
        <v>43</v>
      </c>
      <c r="C15" s="224"/>
      <c r="D15" s="224"/>
      <c r="E15" s="224"/>
      <c r="F15" s="123">
        <v>1757</v>
      </c>
      <c r="G15" s="86">
        <v>3284</v>
      </c>
      <c r="H15" s="83">
        <v>330</v>
      </c>
      <c r="I15" s="75">
        <v>649</v>
      </c>
      <c r="J15" s="75">
        <v>14</v>
      </c>
      <c r="K15" s="75">
        <v>68</v>
      </c>
      <c r="L15" s="75">
        <v>344</v>
      </c>
      <c r="M15" s="86">
        <v>717</v>
      </c>
      <c r="N15" s="83">
        <v>121</v>
      </c>
      <c r="O15" s="75">
        <v>6</v>
      </c>
      <c r="P15" s="75">
        <v>350</v>
      </c>
      <c r="Q15" s="86">
        <v>489</v>
      </c>
      <c r="R15" s="83">
        <v>78</v>
      </c>
      <c r="S15" s="75">
        <v>78</v>
      </c>
      <c r="T15" s="75">
        <v>653</v>
      </c>
      <c r="U15" s="86">
        <v>653</v>
      </c>
    </row>
    <row r="16" spans="2:21" ht="15" customHeight="1">
      <c r="B16" s="224" t="s">
        <v>44</v>
      </c>
      <c r="C16" s="224"/>
      <c r="D16" s="224"/>
      <c r="E16" s="224"/>
      <c r="F16" s="123">
        <v>1088</v>
      </c>
      <c r="G16" s="86">
        <v>1895</v>
      </c>
      <c r="H16" s="83">
        <v>185</v>
      </c>
      <c r="I16" s="75">
        <v>376</v>
      </c>
      <c r="J16" s="75">
        <v>14</v>
      </c>
      <c r="K16" s="75">
        <v>61</v>
      </c>
      <c r="L16" s="75">
        <v>199</v>
      </c>
      <c r="M16" s="86">
        <v>437</v>
      </c>
      <c r="N16" s="83">
        <v>80</v>
      </c>
      <c r="O16" s="75">
        <v>3</v>
      </c>
      <c r="P16" s="75">
        <v>279</v>
      </c>
      <c r="Q16" s="86">
        <v>368</v>
      </c>
      <c r="R16" s="83">
        <v>49</v>
      </c>
      <c r="S16" s="75">
        <v>49</v>
      </c>
      <c r="T16" s="75">
        <v>426</v>
      </c>
      <c r="U16" s="86">
        <v>426</v>
      </c>
    </row>
    <row r="17" spans="2:21" ht="15" customHeight="1">
      <c r="B17" s="224" t="s">
        <v>45</v>
      </c>
      <c r="C17" s="224"/>
      <c r="D17" s="224"/>
      <c r="E17" s="224"/>
      <c r="F17" s="123">
        <v>225</v>
      </c>
      <c r="G17" s="86">
        <v>366</v>
      </c>
      <c r="H17" s="83">
        <v>31</v>
      </c>
      <c r="I17" s="75">
        <v>63</v>
      </c>
      <c r="J17" s="75">
        <v>3</v>
      </c>
      <c r="K17" s="75">
        <v>13</v>
      </c>
      <c r="L17" s="75">
        <v>34</v>
      </c>
      <c r="M17" s="86">
        <v>76</v>
      </c>
      <c r="N17" s="83">
        <v>40</v>
      </c>
      <c r="O17" s="75">
        <v>1</v>
      </c>
      <c r="P17" s="75">
        <v>160</v>
      </c>
      <c r="Q17" s="86">
        <v>202</v>
      </c>
      <c r="R17" s="83">
        <v>9</v>
      </c>
      <c r="S17" s="75">
        <v>9</v>
      </c>
      <c r="T17" s="75">
        <v>89</v>
      </c>
      <c r="U17" s="86">
        <v>89</v>
      </c>
    </row>
    <row r="18" spans="2:21" ht="15" customHeight="1" thickBot="1">
      <c r="B18" s="223" t="s">
        <v>46</v>
      </c>
      <c r="C18" s="223"/>
      <c r="D18" s="223"/>
      <c r="E18" s="223"/>
      <c r="F18" s="125">
        <v>99160</v>
      </c>
      <c r="G18" s="86">
        <v>188591</v>
      </c>
      <c r="H18" s="83">
        <v>20708</v>
      </c>
      <c r="I18" s="75">
        <v>43374</v>
      </c>
      <c r="J18" s="75">
        <v>1365</v>
      </c>
      <c r="K18" s="75">
        <v>4800</v>
      </c>
      <c r="L18" s="75">
        <v>22073</v>
      </c>
      <c r="M18" s="86">
        <v>48174</v>
      </c>
      <c r="N18" s="83">
        <v>5028</v>
      </c>
      <c r="O18" s="75">
        <v>93</v>
      </c>
      <c r="P18" s="75">
        <v>11370</v>
      </c>
      <c r="Q18" s="86">
        <v>16492</v>
      </c>
      <c r="R18" s="83">
        <v>4069</v>
      </c>
      <c r="S18" s="75">
        <v>4076</v>
      </c>
      <c r="T18" s="75">
        <v>29825</v>
      </c>
      <c r="U18" s="86">
        <v>29840</v>
      </c>
    </row>
    <row r="19" spans="2:21" ht="15" customHeight="1" thickBot="1">
      <c r="B19" s="112" t="s">
        <v>203</v>
      </c>
      <c r="C19" s="112" t="s">
        <v>196</v>
      </c>
      <c r="D19" s="112" t="s">
        <v>197</v>
      </c>
      <c r="E19" s="119" t="s">
        <v>198</v>
      </c>
      <c r="F19" s="76"/>
      <c r="G19" s="87"/>
      <c r="H19" s="84"/>
      <c r="I19" s="76"/>
      <c r="J19" s="76"/>
      <c r="K19" s="76"/>
      <c r="L19" s="76"/>
      <c r="M19" s="87"/>
      <c r="N19" s="84"/>
      <c r="O19" s="76"/>
      <c r="P19" s="76"/>
      <c r="Q19" s="87"/>
      <c r="R19" s="84"/>
      <c r="S19" s="76"/>
      <c r="T19" s="76"/>
      <c r="U19" s="87"/>
    </row>
    <row r="20" spans="2:21" ht="15" customHeight="1">
      <c r="B20" s="94" t="s">
        <v>48</v>
      </c>
      <c r="C20" s="95">
        <v>1</v>
      </c>
      <c r="D20" s="95" t="s">
        <v>47</v>
      </c>
      <c r="E20" s="96">
        <v>1</v>
      </c>
      <c r="F20" s="126">
        <v>10</v>
      </c>
      <c r="G20" s="133">
        <v>17</v>
      </c>
      <c r="H20" s="132">
        <v>3</v>
      </c>
      <c r="I20" s="120">
        <v>9</v>
      </c>
      <c r="J20" s="120"/>
      <c r="K20" s="120">
        <v>1</v>
      </c>
      <c r="L20" s="121">
        <f aca="true" t="shared" si="0" ref="L20:L39">SUM(H20,J20)</f>
        <v>3</v>
      </c>
      <c r="M20" s="134">
        <f aca="true" t="shared" si="1" ref="M20:M39">SUM(I20,K20)</f>
        <v>10</v>
      </c>
      <c r="N20" s="132">
        <v>2</v>
      </c>
      <c r="O20" s="120">
        <v>0</v>
      </c>
      <c r="P20" s="120">
        <v>5</v>
      </c>
      <c r="Q20" s="133">
        <v>8</v>
      </c>
      <c r="R20" s="132">
        <v>0</v>
      </c>
      <c r="S20" s="120">
        <v>0</v>
      </c>
      <c r="T20" s="120">
        <v>5</v>
      </c>
      <c r="U20" s="133">
        <v>5</v>
      </c>
    </row>
    <row r="21" spans="2:21" ht="15" customHeight="1">
      <c r="B21" s="97" t="s">
        <v>49</v>
      </c>
      <c r="C21" s="20"/>
      <c r="D21" s="20"/>
      <c r="E21" s="22">
        <v>2</v>
      </c>
      <c r="F21" s="127">
        <v>740</v>
      </c>
      <c r="G21" s="133">
        <v>1548</v>
      </c>
      <c r="H21" s="132">
        <v>182</v>
      </c>
      <c r="I21" s="120">
        <v>435</v>
      </c>
      <c r="J21" s="120">
        <v>14</v>
      </c>
      <c r="K21" s="120">
        <v>46</v>
      </c>
      <c r="L21" s="121">
        <f t="shared" si="0"/>
        <v>196</v>
      </c>
      <c r="M21" s="134">
        <f t="shared" si="1"/>
        <v>481</v>
      </c>
      <c r="N21" s="132">
        <v>17</v>
      </c>
      <c r="O21" s="120"/>
      <c r="P21" s="120">
        <v>42</v>
      </c>
      <c r="Q21" s="133">
        <v>59</v>
      </c>
      <c r="R21" s="132">
        <v>32</v>
      </c>
      <c r="S21" s="120">
        <v>32</v>
      </c>
      <c r="T21" s="120">
        <v>183</v>
      </c>
      <c r="U21" s="133">
        <v>183</v>
      </c>
    </row>
    <row r="22" spans="2:21" ht="15" customHeight="1">
      <c r="B22" s="97" t="s">
        <v>50</v>
      </c>
      <c r="C22" s="20">
        <v>1</v>
      </c>
      <c r="D22" s="20" t="s">
        <v>47</v>
      </c>
      <c r="E22" s="22">
        <v>3</v>
      </c>
      <c r="F22" s="127">
        <v>52</v>
      </c>
      <c r="G22" s="133">
        <v>104</v>
      </c>
      <c r="H22" s="132">
        <v>8</v>
      </c>
      <c r="I22" s="120">
        <v>15</v>
      </c>
      <c r="J22" s="120"/>
      <c r="K22" s="120">
        <v>1</v>
      </c>
      <c r="L22" s="121">
        <f t="shared" si="0"/>
        <v>8</v>
      </c>
      <c r="M22" s="134">
        <f t="shared" si="1"/>
        <v>16</v>
      </c>
      <c r="N22" s="132">
        <v>9</v>
      </c>
      <c r="O22" s="120"/>
      <c r="P22" s="120">
        <v>11</v>
      </c>
      <c r="Q22" s="133">
        <v>21</v>
      </c>
      <c r="R22" s="132">
        <v>2</v>
      </c>
      <c r="S22" s="120">
        <v>2</v>
      </c>
      <c r="T22" s="120">
        <v>13</v>
      </c>
      <c r="U22" s="133">
        <v>13</v>
      </c>
    </row>
    <row r="23" spans="2:21" ht="15" customHeight="1">
      <c r="B23" s="97" t="s">
        <v>51</v>
      </c>
      <c r="C23" s="20"/>
      <c r="D23" s="20"/>
      <c r="E23" s="21">
        <v>4</v>
      </c>
      <c r="F23" s="127">
        <v>38</v>
      </c>
      <c r="G23" s="133">
        <v>55</v>
      </c>
      <c r="H23" s="132">
        <v>10</v>
      </c>
      <c r="I23" s="120">
        <v>21</v>
      </c>
      <c r="J23" s="120"/>
      <c r="K23" s="120">
        <v>1</v>
      </c>
      <c r="L23" s="121">
        <f t="shared" si="0"/>
        <v>10</v>
      </c>
      <c r="M23" s="134">
        <f t="shared" si="1"/>
        <v>22</v>
      </c>
      <c r="N23" s="132">
        <v>5</v>
      </c>
      <c r="O23" s="120"/>
      <c r="P23" s="120">
        <v>12</v>
      </c>
      <c r="Q23" s="133">
        <v>17</v>
      </c>
      <c r="R23" s="132">
        <v>2</v>
      </c>
      <c r="S23" s="120">
        <v>2</v>
      </c>
      <c r="T23" s="120">
        <v>13</v>
      </c>
      <c r="U23" s="133">
        <v>13</v>
      </c>
    </row>
    <row r="24" spans="2:21" ht="15" customHeight="1">
      <c r="B24" s="97" t="s">
        <v>53</v>
      </c>
      <c r="C24" s="20">
        <v>1</v>
      </c>
      <c r="D24" s="20" t="s">
        <v>52</v>
      </c>
      <c r="E24" s="22">
        <v>5</v>
      </c>
      <c r="F24" s="127">
        <v>18</v>
      </c>
      <c r="G24" s="133">
        <v>35</v>
      </c>
      <c r="H24" s="132">
        <v>5</v>
      </c>
      <c r="I24" s="120">
        <v>8</v>
      </c>
      <c r="J24" s="120"/>
      <c r="K24" s="120"/>
      <c r="L24" s="121">
        <f t="shared" si="0"/>
        <v>5</v>
      </c>
      <c r="M24" s="134">
        <f t="shared" si="1"/>
        <v>8</v>
      </c>
      <c r="N24" s="132"/>
      <c r="O24" s="120"/>
      <c r="P24" s="120">
        <v>2</v>
      </c>
      <c r="Q24" s="133">
        <v>2</v>
      </c>
      <c r="R24" s="132">
        <v>1</v>
      </c>
      <c r="S24" s="120">
        <v>1</v>
      </c>
      <c r="T24" s="120">
        <v>10</v>
      </c>
      <c r="U24" s="133">
        <v>10</v>
      </c>
    </row>
    <row r="25" spans="2:21" ht="15" customHeight="1">
      <c r="B25" s="97" t="s">
        <v>54</v>
      </c>
      <c r="C25" s="20">
        <v>1</v>
      </c>
      <c r="D25" s="20" t="s">
        <v>52</v>
      </c>
      <c r="E25" s="22">
        <v>6</v>
      </c>
      <c r="F25" s="127">
        <v>46</v>
      </c>
      <c r="G25" s="133">
        <v>75</v>
      </c>
      <c r="H25" s="132">
        <v>11</v>
      </c>
      <c r="I25" s="120">
        <v>22</v>
      </c>
      <c r="J25" s="120">
        <v>2</v>
      </c>
      <c r="K25" s="120">
        <v>8</v>
      </c>
      <c r="L25" s="121">
        <f t="shared" si="0"/>
        <v>13</v>
      </c>
      <c r="M25" s="134">
        <f t="shared" si="1"/>
        <v>30</v>
      </c>
      <c r="N25" s="132">
        <v>2</v>
      </c>
      <c r="O25" s="120"/>
      <c r="P25" s="120">
        <v>5</v>
      </c>
      <c r="Q25" s="133">
        <v>8</v>
      </c>
      <c r="R25" s="132">
        <v>2</v>
      </c>
      <c r="S25" s="120">
        <v>2</v>
      </c>
      <c r="T25" s="120">
        <v>20</v>
      </c>
      <c r="U25" s="133">
        <v>20</v>
      </c>
    </row>
    <row r="26" spans="2:21" ht="15" customHeight="1">
      <c r="B26" s="97" t="s">
        <v>55</v>
      </c>
      <c r="C26" s="20"/>
      <c r="D26" s="20"/>
      <c r="E26" s="21">
        <v>7</v>
      </c>
      <c r="F26" s="127">
        <v>120</v>
      </c>
      <c r="G26" s="133">
        <v>189</v>
      </c>
      <c r="H26" s="132">
        <v>16</v>
      </c>
      <c r="I26" s="120">
        <v>32</v>
      </c>
      <c r="J26" s="120">
        <v>3</v>
      </c>
      <c r="K26" s="120">
        <v>12</v>
      </c>
      <c r="L26" s="121">
        <f t="shared" si="0"/>
        <v>19</v>
      </c>
      <c r="M26" s="134">
        <f t="shared" si="1"/>
        <v>44</v>
      </c>
      <c r="N26" s="132">
        <v>29</v>
      </c>
      <c r="O26" s="120"/>
      <c r="P26" s="120">
        <v>37</v>
      </c>
      <c r="Q26" s="133">
        <v>67</v>
      </c>
      <c r="R26" s="132">
        <v>5</v>
      </c>
      <c r="S26" s="120">
        <v>5</v>
      </c>
      <c r="T26" s="120">
        <v>48</v>
      </c>
      <c r="U26" s="133">
        <v>48</v>
      </c>
    </row>
    <row r="27" spans="2:21" ht="15" customHeight="1">
      <c r="B27" s="97" t="s">
        <v>56</v>
      </c>
      <c r="C27" s="20">
        <v>1</v>
      </c>
      <c r="D27" s="20" t="s">
        <v>52</v>
      </c>
      <c r="E27" s="22">
        <v>8</v>
      </c>
      <c r="F27" s="127">
        <v>14</v>
      </c>
      <c r="G27" s="133">
        <v>20</v>
      </c>
      <c r="H27" s="132">
        <v>2</v>
      </c>
      <c r="I27" s="120">
        <v>5</v>
      </c>
      <c r="J27" s="120">
        <v>0</v>
      </c>
      <c r="K27" s="120">
        <v>0</v>
      </c>
      <c r="L27" s="121">
        <f t="shared" si="0"/>
        <v>2</v>
      </c>
      <c r="M27" s="134">
        <f t="shared" si="1"/>
        <v>5</v>
      </c>
      <c r="N27" s="132">
        <v>1</v>
      </c>
      <c r="O27" s="120">
        <v>0</v>
      </c>
      <c r="P27" s="120">
        <v>9</v>
      </c>
      <c r="Q27" s="133">
        <v>10</v>
      </c>
      <c r="R27" s="132"/>
      <c r="S27" s="120"/>
      <c r="T27" s="120">
        <v>12</v>
      </c>
      <c r="U27" s="133">
        <v>12</v>
      </c>
    </row>
    <row r="28" spans="2:21" ht="15" customHeight="1">
      <c r="B28" s="97" t="s">
        <v>57</v>
      </c>
      <c r="C28" s="20"/>
      <c r="D28" s="20"/>
      <c r="E28" s="22">
        <v>9</v>
      </c>
      <c r="F28" s="127">
        <v>122</v>
      </c>
      <c r="G28" s="133">
        <v>185</v>
      </c>
      <c r="H28" s="132">
        <v>9</v>
      </c>
      <c r="I28" s="120">
        <v>12</v>
      </c>
      <c r="J28" s="120"/>
      <c r="K28" s="120"/>
      <c r="L28" s="121">
        <f t="shared" si="0"/>
        <v>9</v>
      </c>
      <c r="M28" s="134">
        <f t="shared" si="1"/>
        <v>12</v>
      </c>
      <c r="N28" s="132">
        <v>7</v>
      </c>
      <c r="O28" s="120">
        <v>0</v>
      </c>
      <c r="P28" s="120">
        <v>15</v>
      </c>
      <c r="Q28" s="133">
        <v>22</v>
      </c>
      <c r="R28" s="132">
        <v>12</v>
      </c>
      <c r="S28" s="120">
        <v>12</v>
      </c>
      <c r="T28" s="120">
        <v>44</v>
      </c>
      <c r="U28" s="133">
        <v>44</v>
      </c>
    </row>
    <row r="29" spans="2:21" ht="15" customHeight="1">
      <c r="B29" s="97" t="s">
        <v>58</v>
      </c>
      <c r="C29" s="20">
        <v>1</v>
      </c>
      <c r="D29" s="20" t="s">
        <v>52</v>
      </c>
      <c r="E29" s="21">
        <v>10</v>
      </c>
      <c r="F29" s="127">
        <v>20</v>
      </c>
      <c r="G29" s="133">
        <v>30</v>
      </c>
      <c r="H29" s="132">
        <v>2</v>
      </c>
      <c r="I29" s="120">
        <v>3</v>
      </c>
      <c r="J29" s="120">
        <v>0</v>
      </c>
      <c r="K29" s="120">
        <v>0</v>
      </c>
      <c r="L29" s="121">
        <f t="shared" si="0"/>
        <v>2</v>
      </c>
      <c r="M29" s="134">
        <f t="shared" si="1"/>
        <v>3</v>
      </c>
      <c r="N29" s="132"/>
      <c r="O29" s="120"/>
      <c r="P29" s="120">
        <v>4</v>
      </c>
      <c r="Q29" s="133">
        <v>4</v>
      </c>
      <c r="R29" s="132">
        <v>2</v>
      </c>
      <c r="S29" s="120">
        <v>2</v>
      </c>
      <c r="T29" s="120">
        <v>7</v>
      </c>
      <c r="U29" s="133">
        <v>7</v>
      </c>
    </row>
    <row r="30" spans="2:21" ht="15" customHeight="1">
      <c r="B30" s="97" t="s">
        <v>59</v>
      </c>
      <c r="C30" s="20"/>
      <c r="D30" s="20"/>
      <c r="E30" s="22">
        <v>11</v>
      </c>
      <c r="F30" s="127">
        <v>482</v>
      </c>
      <c r="G30" s="133">
        <v>762</v>
      </c>
      <c r="H30" s="132">
        <v>126</v>
      </c>
      <c r="I30" s="120">
        <v>224</v>
      </c>
      <c r="J30" s="120"/>
      <c r="K30" s="120">
        <v>1</v>
      </c>
      <c r="L30" s="121">
        <f t="shared" si="0"/>
        <v>126</v>
      </c>
      <c r="M30" s="134">
        <f t="shared" si="1"/>
        <v>225</v>
      </c>
      <c r="N30" s="132">
        <v>40</v>
      </c>
      <c r="O30" s="120">
        <v>3</v>
      </c>
      <c r="P30" s="120">
        <v>65</v>
      </c>
      <c r="Q30" s="133">
        <v>109</v>
      </c>
      <c r="R30" s="132">
        <v>24</v>
      </c>
      <c r="S30" s="120">
        <v>24</v>
      </c>
      <c r="T30" s="120">
        <v>182</v>
      </c>
      <c r="U30" s="133">
        <v>182</v>
      </c>
    </row>
    <row r="31" spans="2:21" ht="15" customHeight="1">
      <c r="B31" s="97" t="s">
        <v>60</v>
      </c>
      <c r="C31" s="20">
        <v>1</v>
      </c>
      <c r="D31" s="20" t="s">
        <v>47</v>
      </c>
      <c r="E31" s="22">
        <v>12</v>
      </c>
      <c r="F31" s="127">
        <v>24</v>
      </c>
      <c r="G31" s="133">
        <v>37</v>
      </c>
      <c r="H31" s="132">
        <v>6</v>
      </c>
      <c r="I31" s="120">
        <v>12</v>
      </c>
      <c r="J31" s="120"/>
      <c r="K31" s="120"/>
      <c r="L31" s="121">
        <f t="shared" si="0"/>
        <v>6</v>
      </c>
      <c r="M31" s="134">
        <f t="shared" si="1"/>
        <v>12</v>
      </c>
      <c r="N31" s="132"/>
      <c r="O31" s="120"/>
      <c r="P31" s="120">
        <v>10</v>
      </c>
      <c r="Q31" s="133">
        <v>10</v>
      </c>
      <c r="R31" s="132">
        <v>1</v>
      </c>
      <c r="S31" s="120">
        <v>1</v>
      </c>
      <c r="T31" s="120">
        <v>10</v>
      </c>
      <c r="U31" s="133">
        <v>10</v>
      </c>
    </row>
    <row r="32" spans="2:21" ht="15" customHeight="1">
      <c r="B32" s="97" t="s">
        <v>61</v>
      </c>
      <c r="C32" s="20">
        <v>1</v>
      </c>
      <c r="D32" s="20" t="s">
        <v>47</v>
      </c>
      <c r="E32" s="21">
        <v>13</v>
      </c>
      <c r="F32" s="127">
        <v>46</v>
      </c>
      <c r="G32" s="133">
        <v>70</v>
      </c>
      <c r="H32" s="132">
        <v>6</v>
      </c>
      <c r="I32" s="120">
        <v>14</v>
      </c>
      <c r="J32" s="120"/>
      <c r="K32" s="120">
        <v>2</v>
      </c>
      <c r="L32" s="121">
        <f t="shared" si="0"/>
        <v>6</v>
      </c>
      <c r="M32" s="134">
        <f t="shared" si="1"/>
        <v>16</v>
      </c>
      <c r="N32" s="132">
        <v>14</v>
      </c>
      <c r="O32" s="120"/>
      <c r="P32" s="120">
        <v>18</v>
      </c>
      <c r="Q32" s="133">
        <v>33</v>
      </c>
      <c r="R32" s="132">
        <v>2</v>
      </c>
      <c r="S32" s="120">
        <v>2</v>
      </c>
      <c r="T32" s="120">
        <v>34</v>
      </c>
      <c r="U32" s="133">
        <v>34</v>
      </c>
    </row>
    <row r="33" spans="2:21" ht="15" customHeight="1">
      <c r="B33" s="97" t="s">
        <v>62</v>
      </c>
      <c r="C33" s="20"/>
      <c r="D33" s="20"/>
      <c r="E33" s="22">
        <v>14</v>
      </c>
      <c r="F33" s="127">
        <v>382</v>
      </c>
      <c r="G33" s="133">
        <v>586</v>
      </c>
      <c r="H33" s="132">
        <v>52</v>
      </c>
      <c r="I33" s="120">
        <v>97</v>
      </c>
      <c r="J33" s="120">
        <v>9</v>
      </c>
      <c r="K33" s="120">
        <v>33</v>
      </c>
      <c r="L33" s="121">
        <f t="shared" si="0"/>
        <v>61</v>
      </c>
      <c r="M33" s="134">
        <f t="shared" si="1"/>
        <v>130</v>
      </c>
      <c r="N33" s="132">
        <v>15</v>
      </c>
      <c r="O33" s="120"/>
      <c r="P33" s="120">
        <v>93</v>
      </c>
      <c r="Q33" s="133">
        <v>109</v>
      </c>
      <c r="R33" s="132">
        <v>23</v>
      </c>
      <c r="S33" s="120">
        <v>23</v>
      </c>
      <c r="T33" s="120">
        <v>129</v>
      </c>
      <c r="U33" s="133">
        <v>129</v>
      </c>
    </row>
    <row r="34" spans="2:21" ht="15" customHeight="1">
      <c r="B34" s="97" t="s">
        <v>64</v>
      </c>
      <c r="C34" s="20" t="s">
        <v>63</v>
      </c>
      <c r="D34" s="20"/>
      <c r="E34" s="22">
        <v>15</v>
      </c>
      <c r="F34" s="127">
        <v>9837</v>
      </c>
      <c r="G34" s="133">
        <v>19630</v>
      </c>
      <c r="H34" s="132">
        <v>2136</v>
      </c>
      <c r="I34" s="120">
        <v>4306</v>
      </c>
      <c r="J34" s="120">
        <v>138</v>
      </c>
      <c r="K34" s="120">
        <v>481</v>
      </c>
      <c r="L34" s="121">
        <f t="shared" si="0"/>
        <v>2274</v>
      </c>
      <c r="M34" s="134">
        <f t="shared" si="1"/>
        <v>4787</v>
      </c>
      <c r="N34" s="132">
        <v>383</v>
      </c>
      <c r="O34" s="120">
        <v>4</v>
      </c>
      <c r="P34" s="120">
        <v>787</v>
      </c>
      <c r="Q34" s="133">
        <v>1174</v>
      </c>
      <c r="R34" s="132">
        <v>365</v>
      </c>
      <c r="S34" s="120">
        <v>365</v>
      </c>
      <c r="T34" s="120">
        <v>2865</v>
      </c>
      <c r="U34" s="133">
        <v>2866</v>
      </c>
    </row>
    <row r="35" spans="2:21" ht="15" customHeight="1">
      <c r="B35" s="97" t="s">
        <v>65</v>
      </c>
      <c r="C35" s="20">
        <v>1</v>
      </c>
      <c r="D35" s="20" t="s">
        <v>52</v>
      </c>
      <c r="E35" s="21">
        <v>16</v>
      </c>
      <c r="F35" s="127">
        <v>3</v>
      </c>
      <c r="G35" s="133">
        <v>4</v>
      </c>
      <c r="H35" s="132"/>
      <c r="I35" s="120"/>
      <c r="J35" s="120"/>
      <c r="K35" s="120"/>
      <c r="L35" s="121">
        <f t="shared" si="0"/>
        <v>0</v>
      </c>
      <c r="M35" s="134">
        <f t="shared" si="1"/>
        <v>0</v>
      </c>
      <c r="N35" s="132"/>
      <c r="O35" s="120"/>
      <c r="P35" s="120"/>
      <c r="Q35" s="133"/>
      <c r="R35" s="132"/>
      <c r="S35" s="120"/>
      <c r="T35" s="120"/>
      <c r="U35" s="133"/>
    </row>
    <row r="36" spans="2:21" ht="15" customHeight="1">
      <c r="B36" s="97" t="s">
        <v>66</v>
      </c>
      <c r="C36" s="20" t="s">
        <v>63</v>
      </c>
      <c r="D36" s="20"/>
      <c r="E36" s="22">
        <v>17</v>
      </c>
      <c r="F36" s="127">
        <v>1773</v>
      </c>
      <c r="G36" s="133">
        <v>3440</v>
      </c>
      <c r="H36" s="132">
        <v>400</v>
      </c>
      <c r="I36" s="120">
        <v>868</v>
      </c>
      <c r="J36" s="120">
        <v>41</v>
      </c>
      <c r="K36" s="120">
        <v>151</v>
      </c>
      <c r="L36" s="121">
        <f t="shared" si="0"/>
        <v>441</v>
      </c>
      <c r="M36" s="134">
        <f t="shared" si="1"/>
        <v>1019</v>
      </c>
      <c r="N36" s="132">
        <v>35</v>
      </c>
      <c r="O36" s="120">
        <v>1</v>
      </c>
      <c r="P36" s="120">
        <v>145</v>
      </c>
      <c r="Q36" s="133">
        <v>181</v>
      </c>
      <c r="R36" s="132">
        <v>68</v>
      </c>
      <c r="S36" s="120">
        <v>68</v>
      </c>
      <c r="T36" s="120">
        <v>518</v>
      </c>
      <c r="U36" s="133">
        <v>518</v>
      </c>
    </row>
    <row r="37" spans="2:21" ht="15" customHeight="1">
      <c r="B37" s="97" t="s">
        <v>67</v>
      </c>
      <c r="C37" s="20"/>
      <c r="D37" s="20"/>
      <c r="E37" s="22">
        <v>18</v>
      </c>
      <c r="F37" s="127">
        <v>53</v>
      </c>
      <c r="G37" s="133">
        <v>72</v>
      </c>
      <c r="H37" s="132">
        <v>7</v>
      </c>
      <c r="I37" s="120">
        <v>12</v>
      </c>
      <c r="J37" s="120"/>
      <c r="K37" s="120"/>
      <c r="L37" s="121">
        <f t="shared" si="0"/>
        <v>7</v>
      </c>
      <c r="M37" s="134">
        <f t="shared" si="1"/>
        <v>12</v>
      </c>
      <c r="N37" s="132">
        <v>2</v>
      </c>
      <c r="O37" s="120"/>
      <c r="P37" s="120">
        <v>6</v>
      </c>
      <c r="Q37" s="133">
        <v>9</v>
      </c>
      <c r="R37" s="132">
        <v>4</v>
      </c>
      <c r="S37" s="120">
        <v>4</v>
      </c>
      <c r="T37" s="120">
        <v>26</v>
      </c>
      <c r="U37" s="133">
        <v>26</v>
      </c>
    </row>
    <row r="38" spans="2:21" ht="15" customHeight="1">
      <c r="B38" s="97" t="s">
        <v>68</v>
      </c>
      <c r="C38" s="20">
        <v>1</v>
      </c>
      <c r="D38" s="20" t="s">
        <v>47</v>
      </c>
      <c r="E38" s="21">
        <v>19</v>
      </c>
      <c r="F38" s="127">
        <v>61</v>
      </c>
      <c r="G38" s="133">
        <v>116</v>
      </c>
      <c r="H38" s="132">
        <v>13</v>
      </c>
      <c r="I38" s="120">
        <v>25</v>
      </c>
      <c r="J38" s="120"/>
      <c r="K38" s="120">
        <v>2</v>
      </c>
      <c r="L38" s="121">
        <f t="shared" si="0"/>
        <v>13</v>
      </c>
      <c r="M38" s="134">
        <f t="shared" si="1"/>
        <v>27</v>
      </c>
      <c r="N38" s="132">
        <v>20</v>
      </c>
      <c r="O38" s="120"/>
      <c r="P38" s="120">
        <v>39</v>
      </c>
      <c r="Q38" s="133">
        <v>60</v>
      </c>
      <c r="R38" s="132">
        <v>3</v>
      </c>
      <c r="S38" s="120">
        <v>3</v>
      </c>
      <c r="T38" s="120">
        <v>26</v>
      </c>
      <c r="U38" s="133">
        <v>26</v>
      </c>
    </row>
    <row r="39" spans="2:21" ht="15" customHeight="1">
      <c r="B39" s="97" t="s">
        <v>69</v>
      </c>
      <c r="C39" s="20"/>
      <c r="D39" s="20"/>
      <c r="E39" s="22">
        <v>20</v>
      </c>
      <c r="F39" s="127">
        <v>29</v>
      </c>
      <c r="G39" s="133">
        <v>60</v>
      </c>
      <c r="H39" s="132">
        <v>9</v>
      </c>
      <c r="I39" s="120">
        <v>20</v>
      </c>
      <c r="J39" s="120">
        <v>1</v>
      </c>
      <c r="K39" s="120">
        <v>3</v>
      </c>
      <c r="L39" s="121">
        <f t="shared" si="0"/>
        <v>10</v>
      </c>
      <c r="M39" s="134">
        <f t="shared" si="1"/>
        <v>23</v>
      </c>
      <c r="N39" s="132">
        <v>2</v>
      </c>
      <c r="O39" s="120">
        <v>4</v>
      </c>
      <c r="P39" s="120">
        <v>11</v>
      </c>
      <c r="Q39" s="133">
        <v>18</v>
      </c>
      <c r="R39" s="132"/>
      <c r="S39" s="120"/>
      <c r="T39" s="120">
        <v>15</v>
      </c>
      <c r="U39" s="133">
        <v>15</v>
      </c>
    </row>
    <row r="40" spans="2:21" ht="15" customHeight="1">
      <c r="B40" s="97" t="s">
        <v>70</v>
      </c>
      <c r="C40" s="20">
        <v>1</v>
      </c>
      <c r="D40" s="20" t="s">
        <v>52</v>
      </c>
      <c r="E40" s="22">
        <v>21</v>
      </c>
      <c r="F40" s="127">
        <v>17</v>
      </c>
      <c r="G40" s="133">
        <v>36</v>
      </c>
      <c r="H40" s="132"/>
      <c r="I40" s="120">
        <v>1</v>
      </c>
      <c r="J40" s="120"/>
      <c r="K40" s="120">
        <v>3</v>
      </c>
      <c r="L40" s="121"/>
      <c r="M40" s="134">
        <f aca="true" t="shared" si="2" ref="M40:M71">SUM(I40,K40)</f>
        <v>4</v>
      </c>
      <c r="N40" s="132"/>
      <c r="O40" s="120"/>
      <c r="P40" s="120">
        <v>4</v>
      </c>
      <c r="Q40" s="133">
        <v>4</v>
      </c>
      <c r="R40" s="132"/>
      <c r="S40" s="120"/>
      <c r="T40" s="120">
        <v>2</v>
      </c>
      <c r="U40" s="133">
        <v>2</v>
      </c>
    </row>
    <row r="41" spans="2:21" ht="15" customHeight="1">
      <c r="B41" s="97" t="s">
        <v>71</v>
      </c>
      <c r="C41" s="20">
        <v>1</v>
      </c>
      <c r="D41" s="20" t="s">
        <v>47</v>
      </c>
      <c r="E41" s="21">
        <v>22</v>
      </c>
      <c r="F41" s="127">
        <v>44</v>
      </c>
      <c r="G41" s="133">
        <v>81</v>
      </c>
      <c r="H41" s="132">
        <v>10</v>
      </c>
      <c r="I41" s="120">
        <v>17</v>
      </c>
      <c r="J41" s="120"/>
      <c r="K41" s="120">
        <v>1</v>
      </c>
      <c r="L41" s="121">
        <f aca="true" t="shared" si="3" ref="L41:L47">SUM(H41,J41)</f>
        <v>10</v>
      </c>
      <c r="M41" s="134">
        <f t="shared" si="2"/>
        <v>18</v>
      </c>
      <c r="N41" s="132">
        <v>2</v>
      </c>
      <c r="O41" s="120"/>
      <c r="P41" s="120">
        <v>11</v>
      </c>
      <c r="Q41" s="133">
        <v>13</v>
      </c>
      <c r="R41" s="132">
        <v>1</v>
      </c>
      <c r="S41" s="120">
        <v>1</v>
      </c>
      <c r="T41" s="120">
        <v>15</v>
      </c>
      <c r="U41" s="133">
        <v>15</v>
      </c>
    </row>
    <row r="42" spans="2:21" ht="15" customHeight="1">
      <c r="B42" s="97" t="s">
        <v>72</v>
      </c>
      <c r="C42" s="20"/>
      <c r="D42" s="20"/>
      <c r="E42" s="22">
        <v>23</v>
      </c>
      <c r="F42" s="127">
        <v>48</v>
      </c>
      <c r="G42" s="133">
        <v>70</v>
      </c>
      <c r="H42" s="132">
        <v>8</v>
      </c>
      <c r="I42" s="120">
        <v>15</v>
      </c>
      <c r="J42" s="120"/>
      <c r="K42" s="120"/>
      <c r="L42" s="121">
        <f t="shared" si="3"/>
        <v>8</v>
      </c>
      <c r="M42" s="134">
        <f t="shared" si="2"/>
        <v>15</v>
      </c>
      <c r="N42" s="132">
        <v>2</v>
      </c>
      <c r="O42" s="120">
        <v>2</v>
      </c>
      <c r="P42" s="120">
        <v>7</v>
      </c>
      <c r="Q42" s="133">
        <v>12</v>
      </c>
      <c r="R42" s="132">
        <v>5</v>
      </c>
      <c r="S42" s="120">
        <v>5</v>
      </c>
      <c r="T42" s="120">
        <v>16</v>
      </c>
      <c r="U42" s="133">
        <v>16</v>
      </c>
    </row>
    <row r="43" spans="2:21" ht="15" customHeight="1">
      <c r="B43" s="97" t="s">
        <v>73</v>
      </c>
      <c r="C43" s="20">
        <v>1</v>
      </c>
      <c r="D43" s="20" t="s">
        <v>47</v>
      </c>
      <c r="E43" s="22">
        <v>24</v>
      </c>
      <c r="F43" s="127">
        <v>28</v>
      </c>
      <c r="G43" s="133">
        <v>65</v>
      </c>
      <c r="H43" s="132">
        <v>9</v>
      </c>
      <c r="I43" s="120">
        <v>16</v>
      </c>
      <c r="J43" s="120"/>
      <c r="K43" s="120"/>
      <c r="L43" s="121">
        <f t="shared" si="3"/>
        <v>9</v>
      </c>
      <c r="M43" s="134">
        <f t="shared" si="2"/>
        <v>16</v>
      </c>
      <c r="N43" s="132">
        <v>1</v>
      </c>
      <c r="O43" s="120"/>
      <c r="P43" s="120"/>
      <c r="Q43" s="133">
        <v>2</v>
      </c>
      <c r="R43" s="132">
        <v>1</v>
      </c>
      <c r="S43" s="120">
        <v>1</v>
      </c>
      <c r="T43" s="120">
        <v>21</v>
      </c>
      <c r="U43" s="133">
        <v>21</v>
      </c>
    </row>
    <row r="44" spans="2:21" ht="15" customHeight="1">
      <c r="B44" s="97" t="s">
        <v>74</v>
      </c>
      <c r="C44" s="20"/>
      <c r="D44" s="20"/>
      <c r="E44" s="21">
        <v>25</v>
      </c>
      <c r="F44" s="127">
        <v>92</v>
      </c>
      <c r="G44" s="133">
        <v>155</v>
      </c>
      <c r="H44" s="132">
        <v>9</v>
      </c>
      <c r="I44" s="120">
        <v>18</v>
      </c>
      <c r="J44" s="120">
        <v>1</v>
      </c>
      <c r="K44" s="120">
        <v>8</v>
      </c>
      <c r="L44" s="121">
        <f t="shared" si="3"/>
        <v>10</v>
      </c>
      <c r="M44" s="134">
        <f t="shared" si="2"/>
        <v>26</v>
      </c>
      <c r="N44" s="132">
        <v>54</v>
      </c>
      <c r="O44" s="120">
        <v>1</v>
      </c>
      <c r="P44" s="120">
        <v>44</v>
      </c>
      <c r="Q44" s="133">
        <v>99</v>
      </c>
      <c r="R44" s="132">
        <v>6</v>
      </c>
      <c r="S44" s="120">
        <v>6</v>
      </c>
      <c r="T44" s="120">
        <v>33</v>
      </c>
      <c r="U44" s="133">
        <v>33</v>
      </c>
    </row>
    <row r="45" spans="2:21" ht="15" customHeight="1">
      <c r="B45" s="97" t="s">
        <v>76</v>
      </c>
      <c r="C45" s="20">
        <v>1</v>
      </c>
      <c r="D45" s="20" t="s">
        <v>75</v>
      </c>
      <c r="E45" s="22">
        <v>26</v>
      </c>
      <c r="F45" s="127">
        <v>25</v>
      </c>
      <c r="G45" s="133">
        <v>37</v>
      </c>
      <c r="H45" s="132">
        <v>4</v>
      </c>
      <c r="I45" s="120">
        <v>8</v>
      </c>
      <c r="J45" s="120">
        <v>1</v>
      </c>
      <c r="K45" s="120">
        <v>4</v>
      </c>
      <c r="L45" s="121">
        <f t="shared" si="3"/>
        <v>5</v>
      </c>
      <c r="M45" s="134">
        <f t="shared" si="2"/>
        <v>12</v>
      </c>
      <c r="N45" s="132">
        <v>6</v>
      </c>
      <c r="O45" s="120"/>
      <c r="P45" s="120">
        <v>35</v>
      </c>
      <c r="Q45" s="133">
        <v>42</v>
      </c>
      <c r="R45" s="132">
        <v>1</v>
      </c>
      <c r="S45" s="120">
        <v>1</v>
      </c>
      <c r="T45" s="120">
        <v>9</v>
      </c>
      <c r="U45" s="133">
        <v>9</v>
      </c>
    </row>
    <row r="46" spans="2:21" ht="15" customHeight="1">
      <c r="B46" s="97" t="s">
        <v>77</v>
      </c>
      <c r="C46" s="20"/>
      <c r="D46" s="20"/>
      <c r="E46" s="22">
        <v>27</v>
      </c>
      <c r="F46" s="127">
        <v>136</v>
      </c>
      <c r="G46" s="133">
        <v>186</v>
      </c>
      <c r="H46" s="132">
        <v>18</v>
      </c>
      <c r="I46" s="120">
        <v>37</v>
      </c>
      <c r="J46" s="120"/>
      <c r="K46" s="120">
        <v>2</v>
      </c>
      <c r="L46" s="121">
        <f t="shared" si="3"/>
        <v>18</v>
      </c>
      <c r="M46" s="134">
        <f t="shared" si="2"/>
        <v>39</v>
      </c>
      <c r="N46" s="132">
        <v>6</v>
      </c>
      <c r="O46" s="120">
        <v>1</v>
      </c>
      <c r="P46" s="120">
        <v>52</v>
      </c>
      <c r="Q46" s="133">
        <v>60</v>
      </c>
      <c r="R46" s="132">
        <v>5</v>
      </c>
      <c r="S46" s="120">
        <v>5</v>
      </c>
      <c r="T46" s="120">
        <v>35</v>
      </c>
      <c r="U46" s="133">
        <v>35</v>
      </c>
    </row>
    <row r="47" spans="2:21" ht="15" customHeight="1">
      <c r="B47" s="97" t="s">
        <v>78</v>
      </c>
      <c r="C47" s="20"/>
      <c r="D47" s="20"/>
      <c r="E47" s="21">
        <v>28</v>
      </c>
      <c r="F47" s="127">
        <v>161</v>
      </c>
      <c r="G47" s="133">
        <v>299</v>
      </c>
      <c r="H47" s="132">
        <v>23</v>
      </c>
      <c r="I47" s="120">
        <v>42</v>
      </c>
      <c r="J47" s="120">
        <v>4</v>
      </c>
      <c r="K47" s="120">
        <v>17</v>
      </c>
      <c r="L47" s="121">
        <f t="shared" si="3"/>
        <v>27</v>
      </c>
      <c r="M47" s="134">
        <f t="shared" si="2"/>
        <v>59</v>
      </c>
      <c r="N47" s="132">
        <v>5</v>
      </c>
      <c r="O47" s="120"/>
      <c r="P47" s="120">
        <v>32</v>
      </c>
      <c r="Q47" s="133">
        <v>37</v>
      </c>
      <c r="R47" s="132">
        <v>12</v>
      </c>
      <c r="S47" s="120">
        <v>12</v>
      </c>
      <c r="T47" s="120">
        <v>47</v>
      </c>
      <c r="U47" s="133">
        <v>47</v>
      </c>
    </row>
    <row r="48" spans="2:21" ht="15" customHeight="1">
      <c r="B48" s="97" t="s">
        <v>79</v>
      </c>
      <c r="C48" s="20">
        <v>1</v>
      </c>
      <c r="D48" s="20" t="s">
        <v>52</v>
      </c>
      <c r="E48" s="22">
        <v>29</v>
      </c>
      <c r="F48" s="127">
        <v>4</v>
      </c>
      <c r="G48" s="133">
        <v>12</v>
      </c>
      <c r="H48" s="132"/>
      <c r="I48" s="120">
        <v>1</v>
      </c>
      <c r="J48" s="120"/>
      <c r="K48" s="120"/>
      <c r="L48" s="121"/>
      <c r="M48" s="134">
        <f t="shared" si="2"/>
        <v>1</v>
      </c>
      <c r="N48" s="132"/>
      <c r="O48" s="120"/>
      <c r="P48" s="120">
        <v>1</v>
      </c>
      <c r="Q48" s="133">
        <v>1</v>
      </c>
      <c r="R48" s="132"/>
      <c r="S48" s="120"/>
      <c r="T48" s="120">
        <v>2</v>
      </c>
      <c r="U48" s="133">
        <v>2</v>
      </c>
    </row>
    <row r="49" spans="2:21" ht="15" customHeight="1">
      <c r="B49" s="97" t="s">
        <v>80</v>
      </c>
      <c r="C49" s="20">
        <v>1</v>
      </c>
      <c r="D49" s="20" t="s">
        <v>47</v>
      </c>
      <c r="E49" s="22">
        <v>30</v>
      </c>
      <c r="F49" s="127">
        <v>31</v>
      </c>
      <c r="G49" s="133">
        <v>49</v>
      </c>
      <c r="H49" s="132">
        <v>2</v>
      </c>
      <c r="I49" s="120">
        <v>5</v>
      </c>
      <c r="J49" s="120">
        <v>1</v>
      </c>
      <c r="K49" s="120">
        <v>5</v>
      </c>
      <c r="L49" s="121">
        <f aca="true" t="shared" si="4" ref="L49:L80">SUM(H49,J49)</f>
        <v>3</v>
      </c>
      <c r="M49" s="134">
        <f t="shared" si="2"/>
        <v>10</v>
      </c>
      <c r="N49" s="132">
        <v>4</v>
      </c>
      <c r="O49" s="120">
        <v>1</v>
      </c>
      <c r="P49" s="120">
        <v>15</v>
      </c>
      <c r="Q49" s="133">
        <v>21</v>
      </c>
      <c r="R49" s="132">
        <v>1</v>
      </c>
      <c r="S49" s="120">
        <v>1</v>
      </c>
      <c r="T49" s="120">
        <v>19</v>
      </c>
      <c r="U49" s="133">
        <v>19</v>
      </c>
    </row>
    <row r="50" spans="2:21" ht="15" customHeight="1">
      <c r="B50" s="97" t="s">
        <v>81</v>
      </c>
      <c r="C50" s="20">
        <v>1</v>
      </c>
      <c r="D50" s="20" t="s">
        <v>52</v>
      </c>
      <c r="E50" s="21">
        <v>31</v>
      </c>
      <c r="F50" s="127">
        <v>6</v>
      </c>
      <c r="G50" s="133">
        <v>13</v>
      </c>
      <c r="H50" s="132">
        <v>1</v>
      </c>
      <c r="I50" s="120">
        <v>2</v>
      </c>
      <c r="J50" s="120"/>
      <c r="K50" s="120">
        <v>1</v>
      </c>
      <c r="L50" s="121">
        <f t="shared" si="4"/>
        <v>1</v>
      </c>
      <c r="M50" s="134">
        <f t="shared" si="2"/>
        <v>3</v>
      </c>
      <c r="N50" s="132"/>
      <c r="O50" s="120"/>
      <c r="P50" s="120">
        <v>1</v>
      </c>
      <c r="Q50" s="133">
        <v>1</v>
      </c>
      <c r="R50" s="132"/>
      <c r="S50" s="120"/>
      <c r="T50" s="120">
        <v>2</v>
      </c>
      <c r="U50" s="133">
        <v>2</v>
      </c>
    </row>
    <row r="51" spans="2:21" ht="15" customHeight="1">
      <c r="B51" s="97" t="s">
        <v>82</v>
      </c>
      <c r="C51" s="20"/>
      <c r="D51" s="20"/>
      <c r="E51" s="22">
        <v>32</v>
      </c>
      <c r="F51" s="127">
        <v>99</v>
      </c>
      <c r="G51" s="133">
        <v>160</v>
      </c>
      <c r="H51" s="132">
        <v>12</v>
      </c>
      <c r="I51" s="120">
        <v>19</v>
      </c>
      <c r="J51" s="120"/>
      <c r="K51" s="120">
        <v>2</v>
      </c>
      <c r="L51" s="121">
        <f t="shared" si="4"/>
        <v>12</v>
      </c>
      <c r="M51" s="134">
        <f t="shared" si="2"/>
        <v>21</v>
      </c>
      <c r="N51" s="132">
        <v>2</v>
      </c>
      <c r="O51" s="120">
        <v>1</v>
      </c>
      <c r="P51" s="120">
        <v>22</v>
      </c>
      <c r="Q51" s="133">
        <v>25</v>
      </c>
      <c r="R51" s="132">
        <v>2</v>
      </c>
      <c r="S51" s="120">
        <v>2</v>
      </c>
      <c r="T51" s="120">
        <v>43</v>
      </c>
      <c r="U51" s="133">
        <v>43</v>
      </c>
    </row>
    <row r="52" spans="2:21" ht="15" customHeight="1">
      <c r="B52" s="97" t="s">
        <v>83</v>
      </c>
      <c r="C52" s="20"/>
      <c r="D52" s="20"/>
      <c r="E52" s="22">
        <v>33</v>
      </c>
      <c r="F52" s="127">
        <v>103</v>
      </c>
      <c r="G52" s="133">
        <v>164</v>
      </c>
      <c r="H52" s="132">
        <v>16</v>
      </c>
      <c r="I52" s="120">
        <v>31</v>
      </c>
      <c r="J52" s="120"/>
      <c r="K52" s="120">
        <v>2</v>
      </c>
      <c r="L52" s="121">
        <f t="shared" si="4"/>
        <v>16</v>
      </c>
      <c r="M52" s="134">
        <f t="shared" si="2"/>
        <v>33</v>
      </c>
      <c r="N52" s="132">
        <v>10</v>
      </c>
      <c r="O52" s="120"/>
      <c r="P52" s="120">
        <v>14</v>
      </c>
      <c r="Q52" s="133">
        <v>25</v>
      </c>
      <c r="R52" s="132">
        <v>5</v>
      </c>
      <c r="S52" s="120">
        <v>5</v>
      </c>
      <c r="T52" s="120">
        <v>47</v>
      </c>
      <c r="U52" s="133">
        <v>47</v>
      </c>
    </row>
    <row r="53" spans="2:21" ht="15" customHeight="1">
      <c r="B53" s="97" t="s">
        <v>84</v>
      </c>
      <c r="C53" s="20" t="s">
        <v>63</v>
      </c>
      <c r="D53" s="20"/>
      <c r="E53" s="21">
        <v>34</v>
      </c>
      <c r="F53" s="127">
        <v>1500</v>
      </c>
      <c r="G53" s="133">
        <v>2539</v>
      </c>
      <c r="H53" s="132">
        <v>218</v>
      </c>
      <c r="I53" s="120">
        <v>432</v>
      </c>
      <c r="J53" s="120">
        <v>12</v>
      </c>
      <c r="K53" s="120">
        <v>39</v>
      </c>
      <c r="L53" s="121">
        <f t="shared" si="4"/>
        <v>230</v>
      </c>
      <c r="M53" s="134">
        <f t="shared" si="2"/>
        <v>471</v>
      </c>
      <c r="N53" s="132">
        <v>89</v>
      </c>
      <c r="O53" s="120"/>
      <c r="P53" s="120">
        <v>143</v>
      </c>
      <c r="Q53" s="133">
        <v>232</v>
      </c>
      <c r="R53" s="132">
        <v>58</v>
      </c>
      <c r="S53" s="120">
        <v>58</v>
      </c>
      <c r="T53" s="120">
        <v>507</v>
      </c>
      <c r="U53" s="133">
        <v>508</v>
      </c>
    </row>
    <row r="54" spans="2:21" ht="15" customHeight="1">
      <c r="B54" s="97" t="s">
        <v>85</v>
      </c>
      <c r="C54" s="20"/>
      <c r="D54" s="20"/>
      <c r="E54" s="22">
        <v>35</v>
      </c>
      <c r="F54" s="127">
        <v>20</v>
      </c>
      <c r="G54" s="133">
        <v>24</v>
      </c>
      <c r="H54" s="132">
        <v>2</v>
      </c>
      <c r="I54" s="120">
        <v>3</v>
      </c>
      <c r="J54" s="120"/>
      <c r="K54" s="120"/>
      <c r="L54" s="121">
        <f t="shared" si="4"/>
        <v>2</v>
      </c>
      <c r="M54" s="134">
        <f t="shared" si="2"/>
        <v>3</v>
      </c>
      <c r="N54" s="132">
        <v>1</v>
      </c>
      <c r="O54" s="120"/>
      <c r="P54" s="120">
        <v>5</v>
      </c>
      <c r="Q54" s="133">
        <v>6</v>
      </c>
      <c r="R54" s="132">
        <v>1</v>
      </c>
      <c r="S54" s="120">
        <v>1</v>
      </c>
      <c r="T54" s="120">
        <v>12</v>
      </c>
      <c r="U54" s="133">
        <v>12</v>
      </c>
    </row>
    <row r="55" spans="2:21" ht="15" customHeight="1">
      <c r="B55" s="97" t="s">
        <v>86</v>
      </c>
      <c r="C55" s="20">
        <v>1</v>
      </c>
      <c r="D55" s="20" t="s">
        <v>75</v>
      </c>
      <c r="E55" s="22">
        <v>36</v>
      </c>
      <c r="F55" s="127">
        <v>34</v>
      </c>
      <c r="G55" s="133">
        <v>74</v>
      </c>
      <c r="H55" s="132">
        <v>5</v>
      </c>
      <c r="I55" s="120">
        <v>16</v>
      </c>
      <c r="J55" s="120"/>
      <c r="K55" s="120"/>
      <c r="L55" s="121">
        <f t="shared" si="4"/>
        <v>5</v>
      </c>
      <c r="M55" s="134">
        <f t="shared" si="2"/>
        <v>16</v>
      </c>
      <c r="N55" s="132">
        <v>4</v>
      </c>
      <c r="O55" s="120"/>
      <c r="P55" s="120">
        <v>40</v>
      </c>
      <c r="Q55" s="133">
        <v>44</v>
      </c>
      <c r="R55" s="132">
        <v>3</v>
      </c>
      <c r="S55" s="120">
        <v>3</v>
      </c>
      <c r="T55" s="120">
        <v>12</v>
      </c>
      <c r="U55" s="133">
        <v>12</v>
      </c>
    </row>
    <row r="56" spans="2:21" ht="15" customHeight="1">
      <c r="B56" s="97" t="s">
        <v>87</v>
      </c>
      <c r="C56" s="20"/>
      <c r="D56" s="20"/>
      <c r="E56" s="21">
        <v>37</v>
      </c>
      <c r="F56" s="127">
        <v>394</v>
      </c>
      <c r="G56" s="133">
        <v>757</v>
      </c>
      <c r="H56" s="132">
        <v>82</v>
      </c>
      <c r="I56" s="120">
        <v>178</v>
      </c>
      <c r="J56" s="120">
        <v>5</v>
      </c>
      <c r="K56" s="120">
        <v>18</v>
      </c>
      <c r="L56" s="121">
        <f t="shared" si="4"/>
        <v>87</v>
      </c>
      <c r="M56" s="134">
        <f t="shared" si="2"/>
        <v>196</v>
      </c>
      <c r="N56" s="132">
        <v>12</v>
      </c>
      <c r="O56" s="120"/>
      <c r="P56" s="120">
        <v>20</v>
      </c>
      <c r="Q56" s="133">
        <v>33</v>
      </c>
      <c r="R56" s="132">
        <v>24</v>
      </c>
      <c r="S56" s="120">
        <v>24</v>
      </c>
      <c r="T56" s="120">
        <v>128</v>
      </c>
      <c r="U56" s="133">
        <v>129</v>
      </c>
    </row>
    <row r="57" spans="2:21" ht="15" customHeight="1">
      <c r="B57" s="97" t="s">
        <v>88</v>
      </c>
      <c r="C57" s="20">
        <v>1</v>
      </c>
      <c r="D57" s="20" t="s">
        <v>75</v>
      </c>
      <c r="E57" s="22">
        <v>38</v>
      </c>
      <c r="F57" s="127">
        <v>18</v>
      </c>
      <c r="G57" s="133">
        <v>30</v>
      </c>
      <c r="H57" s="132">
        <v>1</v>
      </c>
      <c r="I57" s="120">
        <v>1</v>
      </c>
      <c r="J57" s="120"/>
      <c r="K57" s="120"/>
      <c r="L57" s="121">
        <f t="shared" si="4"/>
        <v>1</v>
      </c>
      <c r="M57" s="134">
        <f t="shared" si="2"/>
        <v>1</v>
      </c>
      <c r="N57" s="132">
        <v>1</v>
      </c>
      <c r="O57" s="120"/>
      <c r="P57" s="120">
        <v>11</v>
      </c>
      <c r="Q57" s="133">
        <v>12</v>
      </c>
      <c r="R57" s="132">
        <v>1</v>
      </c>
      <c r="S57" s="120">
        <v>1</v>
      </c>
      <c r="T57" s="120">
        <v>10</v>
      </c>
      <c r="U57" s="133">
        <v>10</v>
      </c>
    </row>
    <row r="58" spans="2:21" ht="15" customHeight="1">
      <c r="B58" s="97" t="s">
        <v>89</v>
      </c>
      <c r="C58" s="20"/>
      <c r="D58" s="20"/>
      <c r="E58" s="21">
        <v>40</v>
      </c>
      <c r="F58" s="127">
        <v>30</v>
      </c>
      <c r="G58" s="133">
        <v>54</v>
      </c>
      <c r="H58" s="132">
        <v>6</v>
      </c>
      <c r="I58" s="120">
        <v>13</v>
      </c>
      <c r="J58" s="120"/>
      <c r="K58" s="120">
        <v>2</v>
      </c>
      <c r="L58" s="121">
        <f t="shared" si="4"/>
        <v>6</v>
      </c>
      <c r="M58" s="134">
        <f t="shared" si="2"/>
        <v>15</v>
      </c>
      <c r="N58" s="132">
        <v>2</v>
      </c>
      <c r="O58" s="120"/>
      <c r="P58" s="120">
        <v>1</v>
      </c>
      <c r="Q58" s="133">
        <v>3</v>
      </c>
      <c r="R58" s="132">
        <v>2</v>
      </c>
      <c r="S58" s="120">
        <v>2</v>
      </c>
      <c r="T58" s="120">
        <v>7</v>
      </c>
      <c r="U58" s="133">
        <v>7</v>
      </c>
    </row>
    <row r="59" spans="2:21" ht="15" customHeight="1">
      <c r="B59" s="97" t="s">
        <v>90</v>
      </c>
      <c r="C59" s="20"/>
      <c r="D59" s="20"/>
      <c r="E59" s="22">
        <v>41</v>
      </c>
      <c r="F59" s="127">
        <v>48</v>
      </c>
      <c r="G59" s="133">
        <v>82</v>
      </c>
      <c r="H59" s="132">
        <v>8</v>
      </c>
      <c r="I59" s="120">
        <v>17</v>
      </c>
      <c r="J59" s="120">
        <v>1</v>
      </c>
      <c r="K59" s="120">
        <v>5</v>
      </c>
      <c r="L59" s="121">
        <f t="shared" si="4"/>
        <v>9</v>
      </c>
      <c r="M59" s="134">
        <f t="shared" si="2"/>
        <v>22</v>
      </c>
      <c r="N59" s="132">
        <v>4</v>
      </c>
      <c r="O59" s="120">
        <v>1</v>
      </c>
      <c r="P59" s="120">
        <v>12</v>
      </c>
      <c r="Q59" s="133">
        <v>18</v>
      </c>
      <c r="R59" s="132">
        <v>2</v>
      </c>
      <c r="S59" s="120">
        <v>2</v>
      </c>
      <c r="T59" s="120">
        <v>17</v>
      </c>
      <c r="U59" s="133">
        <v>17</v>
      </c>
    </row>
    <row r="60" spans="2:21" ht="15" customHeight="1">
      <c r="B60" s="97" t="s">
        <v>91</v>
      </c>
      <c r="C60" s="20"/>
      <c r="D60" s="20"/>
      <c r="E60" s="22">
        <v>42</v>
      </c>
      <c r="F60" s="127">
        <v>90</v>
      </c>
      <c r="G60" s="133">
        <v>146</v>
      </c>
      <c r="H60" s="132">
        <v>14</v>
      </c>
      <c r="I60" s="120">
        <v>27</v>
      </c>
      <c r="J60" s="120">
        <v>1</v>
      </c>
      <c r="K60" s="120">
        <v>7</v>
      </c>
      <c r="L60" s="121">
        <f t="shared" si="4"/>
        <v>15</v>
      </c>
      <c r="M60" s="134">
        <f t="shared" si="2"/>
        <v>34</v>
      </c>
      <c r="N60" s="132">
        <v>15</v>
      </c>
      <c r="O60" s="120">
        <v>1</v>
      </c>
      <c r="P60" s="120">
        <v>43</v>
      </c>
      <c r="Q60" s="133">
        <v>59</v>
      </c>
      <c r="R60" s="132">
        <v>5</v>
      </c>
      <c r="S60" s="120">
        <v>5</v>
      </c>
      <c r="T60" s="120">
        <v>38</v>
      </c>
      <c r="U60" s="133">
        <v>38</v>
      </c>
    </row>
    <row r="61" spans="2:21" ht="15" customHeight="1">
      <c r="B61" s="97" t="s">
        <v>92</v>
      </c>
      <c r="C61" s="20"/>
      <c r="D61" s="20"/>
      <c r="E61" s="21">
        <v>43</v>
      </c>
      <c r="F61" s="127">
        <v>2271</v>
      </c>
      <c r="G61" s="133">
        <v>4301</v>
      </c>
      <c r="H61" s="132">
        <v>492</v>
      </c>
      <c r="I61" s="120">
        <v>1000</v>
      </c>
      <c r="J61" s="120">
        <v>24</v>
      </c>
      <c r="K61" s="120">
        <v>87</v>
      </c>
      <c r="L61" s="121">
        <f t="shared" si="4"/>
        <v>516</v>
      </c>
      <c r="M61" s="134">
        <f t="shared" si="2"/>
        <v>1087</v>
      </c>
      <c r="N61" s="132">
        <v>83</v>
      </c>
      <c r="O61" s="120">
        <v>3</v>
      </c>
      <c r="P61" s="120">
        <v>193</v>
      </c>
      <c r="Q61" s="133">
        <v>280</v>
      </c>
      <c r="R61" s="132">
        <v>86</v>
      </c>
      <c r="S61" s="120">
        <v>86</v>
      </c>
      <c r="T61" s="120">
        <v>564</v>
      </c>
      <c r="U61" s="133">
        <v>564</v>
      </c>
    </row>
    <row r="62" spans="2:21" ht="15" customHeight="1">
      <c r="B62" s="97" t="s">
        <v>93</v>
      </c>
      <c r="C62" s="20"/>
      <c r="D62" s="20"/>
      <c r="E62" s="22">
        <v>44</v>
      </c>
      <c r="F62" s="127">
        <v>674</v>
      </c>
      <c r="G62" s="133">
        <v>1136</v>
      </c>
      <c r="H62" s="132">
        <v>143</v>
      </c>
      <c r="I62" s="120">
        <v>272</v>
      </c>
      <c r="J62" s="120">
        <v>8</v>
      </c>
      <c r="K62" s="120">
        <v>30</v>
      </c>
      <c r="L62" s="121">
        <f t="shared" si="4"/>
        <v>151</v>
      </c>
      <c r="M62" s="134">
        <f t="shared" si="2"/>
        <v>302</v>
      </c>
      <c r="N62" s="132">
        <v>52</v>
      </c>
      <c r="O62" s="120"/>
      <c r="P62" s="120">
        <v>105</v>
      </c>
      <c r="Q62" s="133">
        <v>157</v>
      </c>
      <c r="R62" s="132">
        <v>30</v>
      </c>
      <c r="S62" s="120">
        <v>30</v>
      </c>
      <c r="T62" s="120">
        <v>246</v>
      </c>
      <c r="U62" s="133">
        <v>246</v>
      </c>
    </row>
    <row r="63" spans="2:21" ht="15" customHeight="1">
      <c r="B63" s="97" t="s">
        <v>94</v>
      </c>
      <c r="C63" s="20"/>
      <c r="D63" s="20"/>
      <c r="E63" s="22">
        <v>45</v>
      </c>
      <c r="F63" s="127">
        <v>109</v>
      </c>
      <c r="G63" s="133">
        <v>179</v>
      </c>
      <c r="H63" s="132">
        <v>18</v>
      </c>
      <c r="I63" s="120">
        <v>36</v>
      </c>
      <c r="J63" s="120">
        <v>1</v>
      </c>
      <c r="K63" s="120">
        <v>3</v>
      </c>
      <c r="L63" s="121">
        <f t="shared" si="4"/>
        <v>19</v>
      </c>
      <c r="M63" s="134">
        <f t="shared" si="2"/>
        <v>39</v>
      </c>
      <c r="N63" s="132">
        <v>12</v>
      </c>
      <c r="O63" s="120">
        <v>1</v>
      </c>
      <c r="P63" s="120">
        <v>34</v>
      </c>
      <c r="Q63" s="133">
        <v>47</v>
      </c>
      <c r="R63" s="132">
        <v>7</v>
      </c>
      <c r="S63" s="120">
        <v>7</v>
      </c>
      <c r="T63" s="120">
        <v>31</v>
      </c>
      <c r="U63" s="133">
        <v>31</v>
      </c>
    </row>
    <row r="64" spans="2:21" ht="15" customHeight="1">
      <c r="B64" s="97" t="s">
        <v>95</v>
      </c>
      <c r="C64" s="20"/>
      <c r="D64" s="20"/>
      <c r="E64" s="22">
        <v>47</v>
      </c>
      <c r="F64" s="127">
        <v>178</v>
      </c>
      <c r="G64" s="133">
        <v>350</v>
      </c>
      <c r="H64" s="132">
        <v>33</v>
      </c>
      <c r="I64" s="120">
        <v>73</v>
      </c>
      <c r="J64" s="120">
        <v>1</v>
      </c>
      <c r="K64" s="120">
        <v>5</v>
      </c>
      <c r="L64" s="121">
        <f t="shared" si="4"/>
        <v>34</v>
      </c>
      <c r="M64" s="134">
        <f t="shared" si="2"/>
        <v>78</v>
      </c>
      <c r="N64" s="132">
        <v>6</v>
      </c>
      <c r="O64" s="120"/>
      <c r="P64" s="120">
        <v>26</v>
      </c>
      <c r="Q64" s="133">
        <v>34</v>
      </c>
      <c r="R64" s="132">
        <v>9</v>
      </c>
      <c r="S64" s="120">
        <v>9</v>
      </c>
      <c r="T64" s="120">
        <v>42</v>
      </c>
      <c r="U64" s="133">
        <v>42</v>
      </c>
    </row>
    <row r="65" spans="2:21" ht="15" customHeight="1">
      <c r="B65" s="97" t="s">
        <v>96</v>
      </c>
      <c r="C65" s="20">
        <v>1</v>
      </c>
      <c r="D65" s="20" t="s">
        <v>52</v>
      </c>
      <c r="E65" s="22">
        <v>39</v>
      </c>
      <c r="F65" s="127">
        <v>11</v>
      </c>
      <c r="G65" s="133">
        <v>19</v>
      </c>
      <c r="H65" s="132">
        <v>1</v>
      </c>
      <c r="I65" s="120">
        <v>2</v>
      </c>
      <c r="J65" s="120"/>
      <c r="K65" s="120"/>
      <c r="L65" s="121">
        <f t="shared" si="4"/>
        <v>1</v>
      </c>
      <c r="M65" s="134">
        <f t="shared" si="2"/>
        <v>2</v>
      </c>
      <c r="N65" s="132"/>
      <c r="O65" s="120"/>
      <c r="P65" s="120">
        <v>2</v>
      </c>
      <c r="Q65" s="133">
        <v>2</v>
      </c>
      <c r="R65" s="132"/>
      <c r="S65" s="120"/>
      <c r="T65" s="120">
        <v>3</v>
      </c>
      <c r="U65" s="133">
        <v>3</v>
      </c>
    </row>
    <row r="66" spans="2:21" ht="15" customHeight="1">
      <c r="B66" s="97" t="s">
        <v>105</v>
      </c>
      <c r="C66" s="20">
        <v>1</v>
      </c>
      <c r="D66" s="20" t="s">
        <v>47</v>
      </c>
      <c r="E66" s="21">
        <v>46</v>
      </c>
      <c r="F66" s="127">
        <v>10</v>
      </c>
      <c r="G66" s="133">
        <v>14</v>
      </c>
      <c r="H66" s="132">
        <v>2</v>
      </c>
      <c r="I66" s="120">
        <v>3</v>
      </c>
      <c r="J66" s="120"/>
      <c r="K66" s="120"/>
      <c r="L66" s="121">
        <f t="shared" si="4"/>
        <v>2</v>
      </c>
      <c r="M66" s="134">
        <f t="shared" si="2"/>
        <v>3</v>
      </c>
      <c r="N66" s="132">
        <v>1</v>
      </c>
      <c r="O66" s="120"/>
      <c r="P66" s="120">
        <v>6</v>
      </c>
      <c r="Q66" s="133">
        <v>7</v>
      </c>
      <c r="R66" s="132"/>
      <c r="S66" s="120"/>
      <c r="T66" s="120">
        <v>5</v>
      </c>
      <c r="U66" s="133">
        <v>5</v>
      </c>
    </row>
    <row r="67" spans="2:21" ht="15" customHeight="1">
      <c r="B67" s="97" t="s">
        <v>106</v>
      </c>
      <c r="C67" s="20"/>
      <c r="D67" s="20"/>
      <c r="E67" s="22">
        <v>48</v>
      </c>
      <c r="F67" s="127">
        <v>89</v>
      </c>
      <c r="G67" s="133">
        <v>143</v>
      </c>
      <c r="H67" s="132">
        <v>13</v>
      </c>
      <c r="I67" s="120">
        <v>26</v>
      </c>
      <c r="J67" s="120"/>
      <c r="K67" s="120">
        <v>1</v>
      </c>
      <c r="L67" s="121">
        <f t="shared" si="4"/>
        <v>13</v>
      </c>
      <c r="M67" s="134">
        <f t="shared" si="2"/>
        <v>27</v>
      </c>
      <c r="N67" s="132">
        <v>1</v>
      </c>
      <c r="O67" s="120"/>
      <c r="P67" s="120">
        <v>20</v>
      </c>
      <c r="Q67" s="133">
        <v>21</v>
      </c>
      <c r="R67" s="132">
        <v>6</v>
      </c>
      <c r="S67" s="120">
        <v>6</v>
      </c>
      <c r="T67" s="120">
        <v>31</v>
      </c>
      <c r="U67" s="133">
        <v>31</v>
      </c>
    </row>
    <row r="68" spans="2:21" ht="15" customHeight="1">
      <c r="B68" s="97" t="s">
        <v>107</v>
      </c>
      <c r="C68" s="20"/>
      <c r="D68" s="20"/>
      <c r="E68" s="21">
        <v>49</v>
      </c>
      <c r="F68" s="127">
        <v>643</v>
      </c>
      <c r="G68" s="133">
        <v>1289</v>
      </c>
      <c r="H68" s="132">
        <v>154</v>
      </c>
      <c r="I68" s="120">
        <v>328</v>
      </c>
      <c r="J68" s="120">
        <v>14</v>
      </c>
      <c r="K68" s="120">
        <v>50</v>
      </c>
      <c r="L68" s="121">
        <f t="shared" si="4"/>
        <v>168</v>
      </c>
      <c r="M68" s="134">
        <f t="shared" si="2"/>
        <v>378</v>
      </c>
      <c r="N68" s="132">
        <v>63</v>
      </c>
      <c r="O68" s="120"/>
      <c r="P68" s="120">
        <v>97</v>
      </c>
      <c r="Q68" s="133">
        <v>160</v>
      </c>
      <c r="R68" s="132">
        <v>19</v>
      </c>
      <c r="S68" s="120">
        <v>19</v>
      </c>
      <c r="T68" s="120">
        <v>160</v>
      </c>
      <c r="U68" s="133">
        <v>160</v>
      </c>
    </row>
    <row r="69" spans="2:21" ht="15" customHeight="1">
      <c r="B69" s="97" t="s">
        <v>108</v>
      </c>
      <c r="C69" s="20">
        <v>1</v>
      </c>
      <c r="D69" s="20" t="s">
        <v>75</v>
      </c>
      <c r="E69" s="22">
        <v>50</v>
      </c>
      <c r="F69" s="127">
        <v>30</v>
      </c>
      <c r="G69" s="133">
        <v>50</v>
      </c>
      <c r="H69" s="132">
        <v>2</v>
      </c>
      <c r="I69" s="120">
        <v>7</v>
      </c>
      <c r="J69" s="120"/>
      <c r="K69" s="120"/>
      <c r="L69" s="121">
        <f t="shared" si="4"/>
        <v>2</v>
      </c>
      <c r="M69" s="134">
        <f t="shared" si="2"/>
        <v>7</v>
      </c>
      <c r="N69" s="132">
        <v>12</v>
      </c>
      <c r="O69" s="120"/>
      <c r="P69" s="120">
        <v>42</v>
      </c>
      <c r="Q69" s="133">
        <v>54</v>
      </c>
      <c r="R69" s="132">
        <v>1</v>
      </c>
      <c r="S69" s="120">
        <v>1</v>
      </c>
      <c r="T69" s="120">
        <v>9</v>
      </c>
      <c r="U69" s="133">
        <v>9</v>
      </c>
    </row>
    <row r="70" spans="2:21" ht="15" customHeight="1">
      <c r="B70" s="97" t="s">
        <v>109</v>
      </c>
      <c r="C70" s="20" t="s">
        <v>63</v>
      </c>
      <c r="D70" s="20"/>
      <c r="E70" s="22">
        <v>51</v>
      </c>
      <c r="F70" s="127">
        <v>247</v>
      </c>
      <c r="G70" s="133">
        <v>400</v>
      </c>
      <c r="H70" s="132">
        <v>45</v>
      </c>
      <c r="I70" s="120">
        <v>96</v>
      </c>
      <c r="J70" s="120">
        <v>3</v>
      </c>
      <c r="K70" s="120">
        <v>11</v>
      </c>
      <c r="L70" s="121">
        <f t="shared" si="4"/>
        <v>48</v>
      </c>
      <c r="M70" s="134">
        <f t="shared" si="2"/>
        <v>107</v>
      </c>
      <c r="N70" s="132">
        <v>12</v>
      </c>
      <c r="O70" s="120"/>
      <c r="P70" s="120">
        <v>46</v>
      </c>
      <c r="Q70" s="133">
        <v>58</v>
      </c>
      <c r="R70" s="132">
        <v>11</v>
      </c>
      <c r="S70" s="120">
        <v>11</v>
      </c>
      <c r="T70" s="120">
        <v>100</v>
      </c>
      <c r="U70" s="133">
        <v>100</v>
      </c>
    </row>
    <row r="71" spans="2:21" ht="15" customHeight="1">
      <c r="B71" s="97" t="s">
        <v>110</v>
      </c>
      <c r="C71" s="20"/>
      <c r="D71" s="20"/>
      <c r="E71" s="21">
        <v>52</v>
      </c>
      <c r="F71" s="127">
        <v>210</v>
      </c>
      <c r="G71" s="133">
        <v>304</v>
      </c>
      <c r="H71" s="132">
        <v>23</v>
      </c>
      <c r="I71" s="120">
        <v>44</v>
      </c>
      <c r="J71" s="120">
        <v>1</v>
      </c>
      <c r="K71" s="120">
        <v>5</v>
      </c>
      <c r="L71" s="121">
        <f t="shared" si="4"/>
        <v>24</v>
      </c>
      <c r="M71" s="134">
        <f t="shared" si="2"/>
        <v>49</v>
      </c>
      <c r="N71" s="132">
        <v>33</v>
      </c>
      <c r="O71" s="120">
        <v>2</v>
      </c>
      <c r="P71" s="120">
        <v>111</v>
      </c>
      <c r="Q71" s="133">
        <v>147</v>
      </c>
      <c r="R71" s="132">
        <v>11</v>
      </c>
      <c r="S71" s="120">
        <v>11</v>
      </c>
      <c r="T71" s="120">
        <v>41</v>
      </c>
      <c r="U71" s="133">
        <v>41</v>
      </c>
    </row>
    <row r="72" spans="2:21" ht="15" customHeight="1">
      <c r="B72" s="97" t="s">
        <v>111</v>
      </c>
      <c r="C72" s="20">
        <v>1</v>
      </c>
      <c r="D72" s="20" t="s">
        <v>47</v>
      </c>
      <c r="E72" s="22">
        <v>53</v>
      </c>
      <c r="F72" s="127">
        <v>18</v>
      </c>
      <c r="G72" s="133">
        <v>24</v>
      </c>
      <c r="H72" s="132">
        <v>2</v>
      </c>
      <c r="I72" s="120">
        <v>3</v>
      </c>
      <c r="J72" s="120">
        <v>1</v>
      </c>
      <c r="K72" s="120">
        <v>4</v>
      </c>
      <c r="L72" s="121">
        <f t="shared" si="4"/>
        <v>3</v>
      </c>
      <c r="M72" s="134">
        <f aca="true" t="shared" si="5" ref="M72:M103">SUM(I72,K72)</f>
        <v>7</v>
      </c>
      <c r="N72" s="132">
        <v>1</v>
      </c>
      <c r="O72" s="120"/>
      <c r="P72" s="120">
        <v>3</v>
      </c>
      <c r="Q72" s="133">
        <v>5</v>
      </c>
      <c r="R72" s="132"/>
      <c r="S72" s="120"/>
      <c r="T72" s="120">
        <v>6</v>
      </c>
      <c r="U72" s="133">
        <v>6</v>
      </c>
    </row>
    <row r="73" spans="2:21" ht="15" customHeight="1">
      <c r="B73" s="97" t="s">
        <v>112</v>
      </c>
      <c r="C73" s="20"/>
      <c r="D73" s="20"/>
      <c r="E73" s="22">
        <v>54</v>
      </c>
      <c r="F73" s="127">
        <v>171</v>
      </c>
      <c r="G73" s="133">
        <v>278</v>
      </c>
      <c r="H73" s="132">
        <v>23</v>
      </c>
      <c r="I73" s="120">
        <v>47</v>
      </c>
      <c r="J73" s="120">
        <v>1</v>
      </c>
      <c r="K73" s="120">
        <v>8</v>
      </c>
      <c r="L73" s="121">
        <f t="shared" si="4"/>
        <v>24</v>
      </c>
      <c r="M73" s="134">
        <f t="shared" si="5"/>
        <v>55</v>
      </c>
      <c r="N73" s="132">
        <v>20</v>
      </c>
      <c r="O73" s="120">
        <v>1</v>
      </c>
      <c r="P73" s="120">
        <v>45</v>
      </c>
      <c r="Q73" s="133">
        <v>67</v>
      </c>
      <c r="R73" s="132">
        <v>14</v>
      </c>
      <c r="S73" s="120">
        <v>14</v>
      </c>
      <c r="T73" s="120">
        <v>63</v>
      </c>
      <c r="U73" s="133">
        <v>63</v>
      </c>
    </row>
    <row r="74" spans="2:21" ht="15" customHeight="1">
      <c r="B74" s="97" t="s">
        <v>113</v>
      </c>
      <c r="C74" s="20">
        <v>1</v>
      </c>
      <c r="D74" s="20" t="s">
        <v>52</v>
      </c>
      <c r="E74" s="21">
        <v>55</v>
      </c>
      <c r="F74" s="127">
        <v>19</v>
      </c>
      <c r="G74" s="133">
        <v>32</v>
      </c>
      <c r="H74" s="132">
        <v>2</v>
      </c>
      <c r="I74" s="120">
        <v>4</v>
      </c>
      <c r="J74" s="120"/>
      <c r="K74" s="120">
        <v>3</v>
      </c>
      <c r="L74" s="121">
        <f t="shared" si="4"/>
        <v>2</v>
      </c>
      <c r="M74" s="134">
        <f t="shared" si="5"/>
        <v>7</v>
      </c>
      <c r="N74" s="132"/>
      <c r="O74" s="120"/>
      <c r="P74" s="120">
        <v>9</v>
      </c>
      <c r="Q74" s="133">
        <v>9</v>
      </c>
      <c r="R74" s="132">
        <v>3</v>
      </c>
      <c r="S74" s="120">
        <v>3</v>
      </c>
      <c r="T74" s="120">
        <v>6</v>
      </c>
      <c r="U74" s="133">
        <v>6</v>
      </c>
    </row>
    <row r="75" spans="2:21" ht="15" customHeight="1">
      <c r="B75" s="97" t="s">
        <v>114</v>
      </c>
      <c r="C75" s="20"/>
      <c r="D75" s="20"/>
      <c r="E75" s="22">
        <v>56</v>
      </c>
      <c r="F75" s="127">
        <v>43</v>
      </c>
      <c r="G75" s="133">
        <v>68</v>
      </c>
      <c r="H75" s="132">
        <v>5</v>
      </c>
      <c r="I75" s="120">
        <v>8</v>
      </c>
      <c r="J75" s="120"/>
      <c r="K75" s="120">
        <v>1</v>
      </c>
      <c r="L75" s="121">
        <f t="shared" si="4"/>
        <v>5</v>
      </c>
      <c r="M75" s="134">
        <f t="shared" si="5"/>
        <v>9</v>
      </c>
      <c r="N75" s="132"/>
      <c r="O75" s="120">
        <v>1</v>
      </c>
      <c r="P75" s="120">
        <v>11</v>
      </c>
      <c r="Q75" s="133">
        <v>13</v>
      </c>
      <c r="R75" s="132">
        <v>3</v>
      </c>
      <c r="S75" s="120">
        <v>3</v>
      </c>
      <c r="T75" s="120">
        <v>23</v>
      </c>
      <c r="U75" s="133">
        <v>23</v>
      </c>
    </row>
    <row r="76" spans="2:21" ht="15" customHeight="1">
      <c r="B76" s="97" t="s">
        <v>115</v>
      </c>
      <c r="C76" s="20" t="s">
        <v>63</v>
      </c>
      <c r="D76" s="20"/>
      <c r="E76" s="22">
        <v>57</v>
      </c>
      <c r="F76" s="127">
        <v>248</v>
      </c>
      <c r="G76" s="133">
        <v>409</v>
      </c>
      <c r="H76" s="132">
        <v>46</v>
      </c>
      <c r="I76" s="120">
        <v>87</v>
      </c>
      <c r="J76" s="120">
        <v>1</v>
      </c>
      <c r="K76" s="120">
        <v>5</v>
      </c>
      <c r="L76" s="121">
        <f t="shared" si="4"/>
        <v>47</v>
      </c>
      <c r="M76" s="134">
        <f t="shared" si="5"/>
        <v>92</v>
      </c>
      <c r="N76" s="132">
        <v>59</v>
      </c>
      <c r="O76" s="120"/>
      <c r="P76" s="120">
        <v>62</v>
      </c>
      <c r="Q76" s="133">
        <v>121</v>
      </c>
      <c r="R76" s="132">
        <v>12</v>
      </c>
      <c r="S76" s="120">
        <v>12</v>
      </c>
      <c r="T76" s="120">
        <v>60</v>
      </c>
      <c r="U76" s="133">
        <v>60</v>
      </c>
    </row>
    <row r="77" spans="2:21" ht="15" customHeight="1">
      <c r="B77" s="97" t="s">
        <v>116</v>
      </c>
      <c r="C77" s="20"/>
      <c r="D77" s="20"/>
      <c r="E77" s="21">
        <v>58</v>
      </c>
      <c r="F77" s="127">
        <v>273</v>
      </c>
      <c r="G77" s="133">
        <v>516</v>
      </c>
      <c r="H77" s="132">
        <v>50</v>
      </c>
      <c r="I77" s="120">
        <v>103</v>
      </c>
      <c r="J77" s="120">
        <v>3</v>
      </c>
      <c r="K77" s="120">
        <v>14</v>
      </c>
      <c r="L77" s="121">
        <f t="shared" si="4"/>
        <v>53</v>
      </c>
      <c r="M77" s="134">
        <f t="shared" si="5"/>
        <v>117</v>
      </c>
      <c r="N77" s="132">
        <v>7</v>
      </c>
      <c r="O77" s="120"/>
      <c r="P77" s="120">
        <v>35</v>
      </c>
      <c r="Q77" s="133">
        <v>42</v>
      </c>
      <c r="R77" s="132">
        <v>18</v>
      </c>
      <c r="S77" s="120">
        <v>18</v>
      </c>
      <c r="T77" s="120">
        <v>75</v>
      </c>
      <c r="U77" s="133">
        <v>76</v>
      </c>
    </row>
    <row r="78" spans="2:21" ht="15" customHeight="1">
      <c r="B78" s="97" t="s">
        <v>117</v>
      </c>
      <c r="C78" s="20"/>
      <c r="D78" s="20"/>
      <c r="E78" s="22">
        <v>59</v>
      </c>
      <c r="F78" s="127">
        <v>719</v>
      </c>
      <c r="G78" s="133">
        <v>1391</v>
      </c>
      <c r="H78" s="132">
        <v>198</v>
      </c>
      <c r="I78" s="120">
        <v>411</v>
      </c>
      <c r="J78" s="120">
        <v>10</v>
      </c>
      <c r="K78" s="120">
        <v>32</v>
      </c>
      <c r="L78" s="121">
        <f t="shared" si="4"/>
        <v>208</v>
      </c>
      <c r="M78" s="134">
        <f t="shared" si="5"/>
        <v>443</v>
      </c>
      <c r="N78" s="132">
        <v>55</v>
      </c>
      <c r="O78" s="120"/>
      <c r="P78" s="120">
        <v>79</v>
      </c>
      <c r="Q78" s="133">
        <v>134</v>
      </c>
      <c r="R78" s="132">
        <v>18</v>
      </c>
      <c r="S78" s="120">
        <v>18</v>
      </c>
      <c r="T78" s="120">
        <v>152</v>
      </c>
      <c r="U78" s="133">
        <v>152</v>
      </c>
    </row>
    <row r="79" spans="2:21" ht="15" customHeight="1">
      <c r="B79" s="97" t="s">
        <v>118</v>
      </c>
      <c r="C79" s="20"/>
      <c r="D79" s="20"/>
      <c r="E79" s="22">
        <v>60</v>
      </c>
      <c r="F79" s="127">
        <v>100</v>
      </c>
      <c r="G79" s="133">
        <v>152</v>
      </c>
      <c r="H79" s="132">
        <v>17</v>
      </c>
      <c r="I79" s="120">
        <v>36</v>
      </c>
      <c r="J79" s="120"/>
      <c r="K79" s="120"/>
      <c r="L79" s="121">
        <f t="shared" si="4"/>
        <v>17</v>
      </c>
      <c r="M79" s="134">
        <f t="shared" si="5"/>
        <v>36</v>
      </c>
      <c r="N79" s="132">
        <v>2</v>
      </c>
      <c r="O79" s="120"/>
      <c r="P79" s="120">
        <v>29</v>
      </c>
      <c r="Q79" s="133">
        <v>32</v>
      </c>
      <c r="R79" s="132">
        <v>3</v>
      </c>
      <c r="S79" s="120">
        <v>3</v>
      </c>
      <c r="T79" s="120">
        <v>39</v>
      </c>
      <c r="U79" s="133">
        <v>39</v>
      </c>
    </row>
    <row r="80" spans="2:21" ht="15" customHeight="1">
      <c r="B80" s="97" t="s">
        <v>119</v>
      </c>
      <c r="C80" s="20"/>
      <c r="D80" s="20"/>
      <c r="E80" s="21">
        <v>61</v>
      </c>
      <c r="F80" s="127">
        <v>38</v>
      </c>
      <c r="G80" s="133">
        <v>70</v>
      </c>
      <c r="H80" s="132">
        <v>9</v>
      </c>
      <c r="I80" s="120">
        <v>17</v>
      </c>
      <c r="J80" s="120"/>
      <c r="K80" s="120"/>
      <c r="L80" s="121">
        <f t="shared" si="4"/>
        <v>9</v>
      </c>
      <c r="M80" s="134">
        <f t="shared" si="5"/>
        <v>17</v>
      </c>
      <c r="N80" s="132">
        <v>7</v>
      </c>
      <c r="O80" s="120"/>
      <c r="P80" s="120">
        <v>16</v>
      </c>
      <c r="Q80" s="133">
        <v>23</v>
      </c>
      <c r="R80" s="132">
        <v>3</v>
      </c>
      <c r="S80" s="120">
        <v>3</v>
      </c>
      <c r="T80" s="120">
        <v>13</v>
      </c>
      <c r="U80" s="133">
        <v>13</v>
      </c>
    </row>
    <row r="81" spans="2:21" ht="15" customHeight="1">
      <c r="B81" s="97" t="s">
        <v>120</v>
      </c>
      <c r="C81" s="20" t="s">
        <v>63</v>
      </c>
      <c r="D81" s="20"/>
      <c r="E81" s="22">
        <v>62</v>
      </c>
      <c r="F81" s="127">
        <v>1072</v>
      </c>
      <c r="G81" s="133">
        <v>1849</v>
      </c>
      <c r="H81" s="132">
        <v>268</v>
      </c>
      <c r="I81" s="120">
        <v>509</v>
      </c>
      <c r="J81" s="120">
        <v>5</v>
      </c>
      <c r="K81" s="120">
        <v>14</v>
      </c>
      <c r="L81" s="121">
        <f aca="true" t="shared" si="6" ref="L81:L112">SUM(H81,J81)</f>
        <v>273</v>
      </c>
      <c r="M81" s="134">
        <f t="shared" si="5"/>
        <v>523</v>
      </c>
      <c r="N81" s="132">
        <v>66</v>
      </c>
      <c r="O81" s="120">
        <v>2</v>
      </c>
      <c r="P81" s="120">
        <v>185</v>
      </c>
      <c r="Q81" s="133">
        <v>253</v>
      </c>
      <c r="R81" s="132">
        <v>42</v>
      </c>
      <c r="S81" s="120">
        <v>43</v>
      </c>
      <c r="T81" s="120">
        <v>335</v>
      </c>
      <c r="U81" s="133">
        <v>335</v>
      </c>
    </row>
    <row r="82" spans="2:21" ht="15" customHeight="1">
      <c r="B82" s="97" t="s">
        <v>121</v>
      </c>
      <c r="C82" s="20">
        <v>1</v>
      </c>
      <c r="D82" s="20" t="s">
        <v>47</v>
      </c>
      <c r="E82" s="22">
        <v>63</v>
      </c>
      <c r="F82" s="127">
        <v>16</v>
      </c>
      <c r="G82" s="133">
        <v>30</v>
      </c>
      <c r="H82" s="132">
        <v>2</v>
      </c>
      <c r="I82" s="120">
        <v>5</v>
      </c>
      <c r="J82" s="120"/>
      <c r="K82" s="120"/>
      <c r="L82" s="121">
        <f t="shared" si="6"/>
        <v>2</v>
      </c>
      <c r="M82" s="134">
        <f t="shared" si="5"/>
        <v>5</v>
      </c>
      <c r="N82" s="132"/>
      <c r="O82" s="120"/>
      <c r="P82" s="120">
        <v>4</v>
      </c>
      <c r="Q82" s="133">
        <v>4</v>
      </c>
      <c r="R82" s="132"/>
      <c r="S82" s="120"/>
      <c r="T82" s="120">
        <v>2</v>
      </c>
      <c r="U82" s="133">
        <v>2</v>
      </c>
    </row>
    <row r="83" spans="2:21" ht="15" customHeight="1">
      <c r="B83" s="97" t="s">
        <v>122</v>
      </c>
      <c r="C83" s="20" t="s">
        <v>63</v>
      </c>
      <c r="D83" s="20"/>
      <c r="E83" s="21">
        <v>64</v>
      </c>
      <c r="F83" s="127">
        <v>17562</v>
      </c>
      <c r="G83" s="133">
        <v>33591</v>
      </c>
      <c r="H83" s="132">
        <v>3562</v>
      </c>
      <c r="I83" s="120">
        <v>7794</v>
      </c>
      <c r="J83" s="120">
        <v>211</v>
      </c>
      <c r="K83" s="120">
        <v>750</v>
      </c>
      <c r="L83" s="121">
        <f t="shared" si="6"/>
        <v>3773</v>
      </c>
      <c r="M83" s="134">
        <f t="shared" si="5"/>
        <v>8544</v>
      </c>
      <c r="N83" s="132">
        <v>558</v>
      </c>
      <c r="O83" s="120">
        <v>5</v>
      </c>
      <c r="P83" s="120">
        <v>1295</v>
      </c>
      <c r="Q83" s="133">
        <v>1859</v>
      </c>
      <c r="R83" s="132">
        <v>656</v>
      </c>
      <c r="S83" s="120">
        <v>657</v>
      </c>
      <c r="T83" s="120">
        <v>5363</v>
      </c>
      <c r="U83" s="133">
        <v>5366</v>
      </c>
    </row>
    <row r="84" spans="2:21" ht="15" customHeight="1">
      <c r="B84" s="97" t="s">
        <v>123</v>
      </c>
      <c r="C84" s="20">
        <v>1</v>
      </c>
      <c r="D84" s="20" t="s">
        <v>52</v>
      </c>
      <c r="E84" s="22">
        <v>65</v>
      </c>
      <c r="F84" s="127">
        <v>9</v>
      </c>
      <c r="G84" s="133">
        <v>18</v>
      </c>
      <c r="H84" s="132">
        <v>1</v>
      </c>
      <c r="I84" s="120">
        <v>3</v>
      </c>
      <c r="J84" s="120"/>
      <c r="K84" s="120"/>
      <c r="L84" s="121">
        <f t="shared" si="6"/>
        <v>1</v>
      </c>
      <c r="M84" s="134">
        <f t="shared" si="5"/>
        <v>3</v>
      </c>
      <c r="N84" s="132"/>
      <c r="O84" s="120">
        <v>1</v>
      </c>
      <c r="P84" s="120">
        <v>10</v>
      </c>
      <c r="Q84" s="133">
        <v>11</v>
      </c>
      <c r="R84" s="132"/>
      <c r="S84" s="120"/>
      <c r="T84" s="120">
        <v>2</v>
      </c>
      <c r="U84" s="133">
        <v>2</v>
      </c>
    </row>
    <row r="85" spans="2:21" ht="15" customHeight="1">
      <c r="B85" s="97" t="s">
        <v>124</v>
      </c>
      <c r="C85" s="20">
        <v>1</v>
      </c>
      <c r="D85" s="20" t="s">
        <v>52</v>
      </c>
      <c r="E85" s="22">
        <v>66</v>
      </c>
      <c r="F85" s="127">
        <v>22</v>
      </c>
      <c r="G85" s="133">
        <v>35</v>
      </c>
      <c r="H85" s="132">
        <v>5</v>
      </c>
      <c r="I85" s="120">
        <v>9</v>
      </c>
      <c r="J85" s="120"/>
      <c r="K85" s="120"/>
      <c r="L85" s="121">
        <f t="shared" si="6"/>
        <v>5</v>
      </c>
      <c r="M85" s="134">
        <f t="shared" si="5"/>
        <v>9</v>
      </c>
      <c r="N85" s="132">
        <v>2</v>
      </c>
      <c r="O85" s="120"/>
      <c r="P85" s="120">
        <v>16</v>
      </c>
      <c r="Q85" s="133">
        <v>19</v>
      </c>
      <c r="R85" s="132">
        <v>1</v>
      </c>
      <c r="S85" s="120">
        <v>1</v>
      </c>
      <c r="T85" s="120">
        <v>11</v>
      </c>
      <c r="U85" s="133">
        <v>11</v>
      </c>
    </row>
    <row r="86" spans="2:21" ht="15" customHeight="1">
      <c r="B86" s="97" t="s">
        <v>125</v>
      </c>
      <c r="C86" s="20"/>
      <c r="D86" s="20"/>
      <c r="E86" s="21">
        <v>67</v>
      </c>
      <c r="F86" s="127">
        <v>29</v>
      </c>
      <c r="G86" s="133">
        <v>61</v>
      </c>
      <c r="H86" s="132">
        <v>3</v>
      </c>
      <c r="I86" s="120">
        <v>6</v>
      </c>
      <c r="J86" s="120"/>
      <c r="K86" s="120">
        <v>1</v>
      </c>
      <c r="L86" s="121">
        <f t="shared" si="6"/>
        <v>3</v>
      </c>
      <c r="M86" s="134">
        <f t="shared" si="5"/>
        <v>7</v>
      </c>
      <c r="N86" s="132">
        <v>4</v>
      </c>
      <c r="O86" s="120">
        <v>1</v>
      </c>
      <c r="P86" s="120">
        <v>18</v>
      </c>
      <c r="Q86" s="133">
        <v>23</v>
      </c>
      <c r="R86" s="132">
        <v>1</v>
      </c>
      <c r="S86" s="120">
        <v>1</v>
      </c>
      <c r="T86" s="120">
        <v>10</v>
      </c>
      <c r="U86" s="133">
        <v>10</v>
      </c>
    </row>
    <row r="87" spans="2:21" ht="15" customHeight="1">
      <c r="B87" s="97" t="s">
        <v>126</v>
      </c>
      <c r="C87" s="20">
        <v>1</v>
      </c>
      <c r="D87" s="20" t="s">
        <v>52</v>
      </c>
      <c r="E87" s="22">
        <v>68</v>
      </c>
      <c r="F87" s="127">
        <v>25</v>
      </c>
      <c r="G87" s="133">
        <v>40</v>
      </c>
      <c r="H87" s="132">
        <v>2</v>
      </c>
      <c r="I87" s="120">
        <v>4</v>
      </c>
      <c r="J87" s="120">
        <v>1</v>
      </c>
      <c r="K87" s="120">
        <v>3</v>
      </c>
      <c r="L87" s="121">
        <f t="shared" si="6"/>
        <v>3</v>
      </c>
      <c r="M87" s="134">
        <f t="shared" si="5"/>
        <v>7</v>
      </c>
      <c r="N87" s="132">
        <v>5</v>
      </c>
      <c r="O87" s="120"/>
      <c r="P87" s="120">
        <v>4</v>
      </c>
      <c r="Q87" s="133">
        <v>9</v>
      </c>
      <c r="R87" s="132">
        <v>1</v>
      </c>
      <c r="S87" s="120">
        <v>1</v>
      </c>
      <c r="T87" s="120">
        <v>7</v>
      </c>
      <c r="U87" s="133">
        <v>7</v>
      </c>
    </row>
    <row r="88" spans="2:21" ht="15" customHeight="1">
      <c r="B88" s="97" t="s">
        <v>127</v>
      </c>
      <c r="C88" s="20"/>
      <c r="D88" s="20"/>
      <c r="E88" s="22">
        <v>69</v>
      </c>
      <c r="F88" s="127">
        <v>675</v>
      </c>
      <c r="G88" s="133">
        <v>1325</v>
      </c>
      <c r="H88" s="132">
        <v>129</v>
      </c>
      <c r="I88" s="120">
        <v>281</v>
      </c>
      <c r="J88" s="120">
        <v>12</v>
      </c>
      <c r="K88" s="120">
        <v>39</v>
      </c>
      <c r="L88" s="121">
        <f t="shared" si="6"/>
        <v>141</v>
      </c>
      <c r="M88" s="134">
        <f t="shared" si="5"/>
        <v>320</v>
      </c>
      <c r="N88" s="132">
        <v>24</v>
      </c>
      <c r="O88" s="120"/>
      <c r="P88" s="120">
        <v>102</v>
      </c>
      <c r="Q88" s="133">
        <v>127</v>
      </c>
      <c r="R88" s="132">
        <v>36</v>
      </c>
      <c r="S88" s="120">
        <v>36</v>
      </c>
      <c r="T88" s="120">
        <v>168</v>
      </c>
      <c r="U88" s="133">
        <v>168</v>
      </c>
    </row>
    <row r="89" spans="2:21" ht="15" customHeight="1">
      <c r="B89" s="97" t="s">
        <v>128</v>
      </c>
      <c r="C89" s="20">
        <v>1</v>
      </c>
      <c r="D89" s="20" t="s">
        <v>75</v>
      </c>
      <c r="E89" s="21">
        <v>70</v>
      </c>
      <c r="F89" s="127">
        <v>19</v>
      </c>
      <c r="G89" s="133">
        <v>33</v>
      </c>
      <c r="H89" s="132">
        <v>6</v>
      </c>
      <c r="I89" s="120">
        <v>10</v>
      </c>
      <c r="J89" s="120">
        <v>1</v>
      </c>
      <c r="K89" s="120">
        <v>4</v>
      </c>
      <c r="L89" s="121">
        <f t="shared" si="6"/>
        <v>7</v>
      </c>
      <c r="M89" s="134">
        <f t="shared" si="5"/>
        <v>14</v>
      </c>
      <c r="N89" s="132">
        <v>1</v>
      </c>
      <c r="O89" s="120"/>
      <c r="P89" s="120">
        <v>3</v>
      </c>
      <c r="Q89" s="133">
        <v>4</v>
      </c>
      <c r="R89" s="132"/>
      <c r="S89" s="120"/>
      <c r="T89" s="120">
        <v>7</v>
      </c>
      <c r="U89" s="133">
        <v>7</v>
      </c>
    </row>
    <row r="90" spans="2:21" ht="15" customHeight="1">
      <c r="B90" s="97" t="s">
        <v>129</v>
      </c>
      <c r="C90" s="20">
        <v>1</v>
      </c>
      <c r="D90" s="20" t="s">
        <v>47</v>
      </c>
      <c r="E90" s="22">
        <v>71</v>
      </c>
      <c r="F90" s="127">
        <v>110</v>
      </c>
      <c r="G90" s="133">
        <v>162</v>
      </c>
      <c r="H90" s="132">
        <v>11</v>
      </c>
      <c r="I90" s="120">
        <v>20</v>
      </c>
      <c r="J90" s="120"/>
      <c r="K90" s="120"/>
      <c r="L90" s="121">
        <f t="shared" si="6"/>
        <v>11</v>
      </c>
      <c r="M90" s="134">
        <f t="shared" si="5"/>
        <v>20</v>
      </c>
      <c r="N90" s="132">
        <v>5</v>
      </c>
      <c r="O90" s="120">
        <v>3</v>
      </c>
      <c r="P90" s="120">
        <v>22</v>
      </c>
      <c r="Q90" s="133">
        <v>30</v>
      </c>
      <c r="R90" s="132">
        <v>2</v>
      </c>
      <c r="S90" s="120">
        <v>2</v>
      </c>
      <c r="T90" s="120">
        <v>97</v>
      </c>
      <c r="U90" s="133">
        <v>97</v>
      </c>
    </row>
    <row r="91" spans="2:21" ht="15" customHeight="1">
      <c r="B91" s="97" t="s">
        <v>130</v>
      </c>
      <c r="C91" s="20"/>
      <c r="D91" s="20"/>
      <c r="E91" s="22">
        <v>72</v>
      </c>
      <c r="F91" s="127">
        <v>109</v>
      </c>
      <c r="G91" s="133">
        <v>226</v>
      </c>
      <c r="H91" s="132">
        <v>23</v>
      </c>
      <c r="I91" s="120">
        <v>50</v>
      </c>
      <c r="J91" s="120">
        <v>1</v>
      </c>
      <c r="K91" s="120">
        <v>4</v>
      </c>
      <c r="L91" s="121">
        <f t="shared" si="6"/>
        <v>24</v>
      </c>
      <c r="M91" s="134">
        <f t="shared" si="5"/>
        <v>54</v>
      </c>
      <c r="N91" s="132">
        <v>11</v>
      </c>
      <c r="O91" s="120"/>
      <c r="P91" s="120">
        <v>36</v>
      </c>
      <c r="Q91" s="133">
        <v>48</v>
      </c>
      <c r="R91" s="132">
        <v>5</v>
      </c>
      <c r="S91" s="120">
        <v>5</v>
      </c>
      <c r="T91" s="120">
        <v>34</v>
      </c>
      <c r="U91" s="133">
        <v>34</v>
      </c>
    </row>
    <row r="92" spans="2:21" ht="15" customHeight="1">
      <c r="B92" s="97" t="s">
        <v>131</v>
      </c>
      <c r="C92" s="20">
        <v>1</v>
      </c>
      <c r="D92" s="20" t="s">
        <v>47</v>
      </c>
      <c r="E92" s="21">
        <v>73</v>
      </c>
      <c r="F92" s="127">
        <v>41</v>
      </c>
      <c r="G92" s="133">
        <v>73</v>
      </c>
      <c r="H92" s="132">
        <v>9</v>
      </c>
      <c r="I92" s="120">
        <v>14</v>
      </c>
      <c r="J92" s="120">
        <v>1</v>
      </c>
      <c r="K92" s="120">
        <v>4</v>
      </c>
      <c r="L92" s="121">
        <f t="shared" si="6"/>
        <v>10</v>
      </c>
      <c r="M92" s="134">
        <f t="shared" si="5"/>
        <v>18</v>
      </c>
      <c r="N92" s="132"/>
      <c r="O92" s="120"/>
      <c r="P92" s="120">
        <v>4</v>
      </c>
      <c r="Q92" s="133">
        <v>4</v>
      </c>
      <c r="R92" s="132">
        <v>2</v>
      </c>
      <c r="S92" s="120">
        <v>2</v>
      </c>
      <c r="T92" s="120">
        <v>16</v>
      </c>
      <c r="U92" s="133">
        <v>16</v>
      </c>
    </row>
    <row r="93" spans="2:21" ht="15" customHeight="1">
      <c r="B93" s="97" t="s">
        <v>132</v>
      </c>
      <c r="C93" s="20">
        <v>1</v>
      </c>
      <c r="D93" s="20" t="s">
        <v>52</v>
      </c>
      <c r="E93" s="22">
        <v>74</v>
      </c>
      <c r="F93" s="127">
        <v>51</v>
      </c>
      <c r="G93" s="133">
        <v>81</v>
      </c>
      <c r="H93" s="132">
        <v>9</v>
      </c>
      <c r="I93" s="120">
        <v>20</v>
      </c>
      <c r="J93" s="120"/>
      <c r="K93" s="120"/>
      <c r="L93" s="121">
        <f t="shared" si="6"/>
        <v>9</v>
      </c>
      <c r="M93" s="134">
        <f t="shared" si="5"/>
        <v>20</v>
      </c>
      <c r="N93" s="132">
        <v>35</v>
      </c>
      <c r="O93" s="120"/>
      <c r="P93" s="120">
        <v>38</v>
      </c>
      <c r="Q93" s="133">
        <v>73</v>
      </c>
      <c r="R93" s="132">
        <v>3</v>
      </c>
      <c r="S93" s="120">
        <v>3</v>
      </c>
      <c r="T93" s="120">
        <v>22</v>
      </c>
      <c r="U93" s="133">
        <v>22</v>
      </c>
    </row>
    <row r="94" spans="2:21" ht="15" customHeight="1">
      <c r="B94" s="97" t="s">
        <v>133</v>
      </c>
      <c r="C94" s="20">
        <v>1</v>
      </c>
      <c r="D94" s="20" t="s">
        <v>75</v>
      </c>
      <c r="E94" s="22">
        <v>75</v>
      </c>
      <c r="F94" s="127">
        <v>5</v>
      </c>
      <c r="G94" s="133">
        <v>8</v>
      </c>
      <c r="H94" s="132">
        <v>1</v>
      </c>
      <c r="I94" s="120">
        <v>2</v>
      </c>
      <c r="J94" s="120"/>
      <c r="K94" s="120"/>
      <c r="L94" s="121">
        <f t="shared" si="6"/>
        <v>1</v>
      </c>
      <c r="M94" s="134">
        <f t="shared" si="5"/>
        <v>2</v>
      </c>
      <c r="N94" s="132">
        <v>1</v>
      </c>
      <c r="O94" s="120"/>
      <c r="P94" s="120">
        <v>5</v>
      </c>
      <c r="Q94" s="133">
        <v>6</v>
      </c>
      <c r="R94" s="132"/>
      <c r="S94" s="120"/>
      <c r="T94" s="120">
        <v>6</v>
      </c>
      <c r="U94" s="133">
        <v>6</v>
      </c>
    </row>
    <row r="95" spans="2:21" ht="15" customHeight="1">
      <c r="B95" s="97" t="s">
        <v>134</v>
      </c>
      <c r="C95" s="20"/>
      <c r="D95" s="20"/>
      <c r="E95" s="21">
        <v>76</v>
      </c>
      <c r="F95" s="127">
        <v>66</v>
      </c>
      <c r="G95" s="133">
        <v>105</v>
      </c>
      <c r="H95" s="132">
        <v>8</v>
      </c>
      <c r="I95" s="120">
        <v>16</v>
      </c>
      <c r="J95" s="120">
        <v>3</v>
      </c>
      <c r="K95" s="120">
        <v>13</v>
      </c>
      <c r="L95" s="121">
        <f t="shared" si="6"/>
        <v>11</v>
      </c>
      <c r="M95" s="134">
        <f t="shared" si="5"/>
        <v>29</v>
      </c>
      <c r="N95" s="132">
        <v>1</v>
      </c>
      <c r="O95" s="120"/>
      <c r="P95" s="120">
        <v>10</v>
      </c>
      <c r="Q95" s="133">
        <v>11</v>
      </c>
      <c r="R95" s="132">
        <v>3</v>
      </c>
      <c r="S95" s="120">
        <v>3</v>
      </c>
      <c r="T95" s="120">
        <v>22</v>
      </c>
      <c r="U95" s="133">
        <v>22</v>
      </c>
    </row>
    <row r="96" spans="2:21" ht="15" customHeight="1">
      <c r="B96" s="97" t="s">
        <v>135</v>
      </c>
      <c r="C96" s="20" t="s">
        <v>63</v>
      </c>
      <c r="D96" s="20"/>
      <c r="E96" s="22">
        <v>77</v>
      </c>
      <c r="F96" s="127">
        <v>1566</v>
      </c>
      <c r="G96" s="133">
        <v>3040</v>
      </c>
      <c r="H96" s="132">
        <v>354</v>
      </c>
      <c r="I96" s="120">
        <v>753</v>
      </c>
      <c r="J96" s="120">
        <v>18</v>
      </c>
      <c r="K96" s="120">
        <v>63</v>
      </c>
      <c r="L96" s="121">
        <f t="shared" si="6"/>
        <v>372</v>
      </c>
      <c r="M96" s="134">
        <f t="shared" si="5"/>
        <v>816</v>
      </c>
      <c r="N96" s="132">
        <v>83</v>
      </c>
      <c r="O96" s="120"/>
      <c r="P96" s="120">
        <v>249</v>
      </c>
      <c r="Q96" s="133">
        <v>334</v>
      </c>
      <c r="R96" s="132">
        <v>74</v>
      </c>
      <c r="S96" s="120">
        <v>75</v>
      </c>
      <c r="T96" s="120">
        <v>448</v>
      </c>
      <c r="U96" s="133">
        <v>448</v>
      </c>
    </row>
    <row r="97" spans="2:21" ht="15" customHeight="1">
      <c r="B97" s="97" t="s">
        <v>136</v>
      </c>
      <c r="C97" s="20"/>
      <c r="D97" s="20"/>
      <c r="E97" s="22">
        <v>78</v>
      </c>
      <c r="F97" s="127">
        <v>124</v>
      </c>
      <c r="G97" s="133">
        <v>228</v>
      </c>
      <c r="H97" s="132">
        <v>18</v>
      </c>
      <c r="I97" s="120">
        <v>35</v>
      </c>
      <c r="J97" s="120"/>
      <c r="K97" s="120">
        <v>3</v>
      </c>
      <c r="L97" s="121">
        <f t="shared" si="6"/>
        <v>18</v>
      </c>
      <c r="M97" s="134">
        <f t="shared" si="5"/>
        <v>38</v>
      </c>
      <c r="N97" s="132">
        <v>1</v>
      </c>
      <c r="O97" s="120"/>
      <c r="P97" s="120">
        <v>16</v>
      </c>
      <c r="Q97" s="133">
        <v>17</v>
      </c>
      <c r="R97" s="132">
        <v>9</v>
      </c>
      <c r="S97" s="120">
        <v>9</v>
      </c>
      <c r="T97" s="120">
        <v>49</v>
      </c>
      <c r="U97" s="133">
        <v>49</v>
      </c>
    </row>
    <row r="98" spans="2:21" ht="15" customHeight="1">
      <c r="B98" s="97" t="s">
        <v>137</v>
      </c>
      <c r="C98" s="20">
        <v>1</v>
      </c>
      <c r="D98" s="20" t="s">
        <v>47</v>
      </c>
      <c r="E98" s="21">
        <v>79</v>
      </c>
      <c r="F98" s="127">
        <v>31</v>
      </c>
      <c r="G98" s="133">
        <v>50</v>
      </c>
      <c r="H98" s="132">
        <v>4</v>
      </c>
      <c r="I98" s="120">
        <v>7</v>
      </c>
      <c r="J98" s="120"/>
      <c r="K98" s="120"/>
      <c r="L98" s="121">
        <f t="shared" si="6"/>
        <v>4</v>
      </c>
      <c r="M98" s="134">
        <f t="shared" si="5"/>
        <v>7</v>
      </c>
      <c r="N98" s="132">
        <v>2</v>
      </c>
      <c r="O98" s="120"/>
      <c r="P98" s="120">
        <v>9</v>
      </c>
      <c r="Q98" s="133">
        <v>11</v>
      </c>
      <c r="R98" s="132">
        <v>3</v>
      </c>
      <c r="S98" s="120">
        <v>3</v>
      </c>
      <c r="T98" s="120">
        <v>8</v>
      </c>
      <c r="U98" s="133">
        <v>8</v>
      </c>
    </row>
    <row r="99" spans="2:21" ht="15" customHeight="1">
      <c r="B99" s="97" t="s">
        <v>138</v>
      </c>
      <c r="C99" s="20" t="s">
        <v>63</v>
      </c>
      <c r="D99" s="20"/>
      <c r="E99" s="22">
        <v>80</v>
      </c>
      <c r="F99" s="127">
        <v>2931</v>
      </c>
      <c r="G99" s="133">
        <v>6236</v>
      </c>
      <c r="H99" s="132">
        <v>676</v>
      </c>
      <c r="I99" s="120">
        <v>1474</v>
      </c>
      <c r="J99" s="120">
        <v>63</v>
      </c>
      <c r="K99" s="120">
        <v>219</v>
      </c>
      <c r="L99" s="121">
        <f t="shared" si="6"/>
        <v>739</v>
      </c>
      <c r="M99" s="134">
        <f t="shared" si="5"/>
        <v>1693</v>
      </c>
      <c r="N99" s="132">
        <v>115</v>
      </c>
      <c r="O99" s="120">
        <v>2</v>
      </c>
      <c r="P99" s="120">
        <v>393</v>
      </c>
      <c r="Q99" s="133">
        <v>512</v>
      </c>
      <c r="R99" s="132">
        <v>104</v>
      </c>
      <c r="S99" s="120">
        <v>104</v>
      </c>
      <c r="T99" s="120">
        <v>768</v>
      </c>
      <c r="U99" s="133">
        <v>769</v>
      </c>
    </row>
    <row r="100" spans="2:21" ht="15" customHeight="1">
      <c r="B100" s="97" t="s">
        <v>139</v>
      </c>
      <c r="C100" s="20">
        <v>1</v>
      </c>
      <c r="D100" s="20" t="s">
        <v>52</v>
      </c>
      <c r="E100" s="22">
        <v>81</v>
      </c>
      <c r="F100" s="127">
        <v>24</v>
      </c>
      <c r="G100" s="133">
        <v>40</v>
      </c>
      <c r="H100" s="132">
        <v>3</v>
      </c>
      <c r="I100" s="120">
        <v>4</v>
      </c>
      <c r="J100" s="120">
        <v>1</v>
      </c>
      <c r="K100" s="120">
        <v>1</v>
      </c>
      <c r="L100" s="121">
        <f t="shared" si="6"/>
        <v>4</v>
      </c>
      <c r="M100" s="134">
        <f t="shared" si="5"/>
        <v>5</v>
      </c>
      <c r="N100" s="132"/>
      <c r="O100" s="120"/>
      <c r="P100" s="120">
        <v>4</v>
      </c>
      <c r="Q100" s="133">
        <v>4</v>
      </c>
      <c r="R100" s="132"/>
      <c r="S100" s="120"/>
      <c r="T100" s="120">
        <v>7</v>
      </c>
      <c r="U100" s="133">
        <v>7</v>
      </c>
    </row>
    <row r="101" spans="2:21" ht="15" customHeight="1">
      <c r="B101" s="97" t="s">
        <v>140</v>
      </c>
      <c r="C101" s="20">
        <v>1</v>
      </c>
      <c r="D101" s="20" t="s">
        <v>75</v>
      </c>
      <c r="E101" s="21">
        <v>82</v>
      </c>
      <c r="F101" s="127">
        <v>20</v>
      </c>
      <c r="G101" s="133">
        <v>30</v>
      </c>
      <c r="H101" s="132">
        <v>3</v>
      </c>
      <c r="I101" s="120">
        <v>5</v>
      </c>
      <c r="J101" s="120"/>
      <c r="K101" s="120"/>
      <c r="L101" s="121">
        <f t="shared" si="6"/>
        <v>3</v>
      </c>
      <c r="M101" s="134">
        <f t="shared" si="5"/>
        <v>5</v>
      </c>
      <c r="N101" s="132">
        <v>1</v>
      </c>
      <c r="O101" s="120"/>
      <c r="P101" s="120">
        <v>4</v>
      </c>
      <c r="Q101" s="133">
        <v>5</v>
      </c>
      <c r="R101" s="132">
        <v>2</v>
      </c>
      <c r="S101" s="120">
        <v>2</v>
      </c>
      <c r="T101" s="120">
        <v>14</v>
      </c>
      <c r="U101" s="133">
        <v>14</v>
      </c>
    </row>
    <row r="102" spans="2:21" ht="15" customHeight="1">
      <c r="B102" s="97" t="s">
        <v>141</v>
      </c>
      <c r="C102" s="20"/>
      <c r="D102" s="20"/>
      <c r="E102" s="22">
        <v>83</v>
      </c>
      <c r="F102" s="127">
        <v>1465</v>
      </c>
      <c r="G102" s="133">
        <v>2494</v>
      </c>
      <c r="H102" s="132">
        <v>304</v>
      </c>
      <c r="I102" s="120">
        <v>622</v>
      </c>
      <c r="J102" s="120">
        <v>7</v>
      </c>
      <c r="K102" s="120">
        <v>28</v>
      </c>
      <c r="L102" s="121">
        <f t="shared" si="6"/>
        <v>311</v>
      </c>
      <c r="M102" s="134">
        <f t="shared" si="5"/>
        <v>650</v>
      </c>
      <c r="N102" s="132">
        <v>45</v>
      </c>
      <c r="O102" s="120">
        <v>1</v>
      </c>
      <c r="P102" s="120">
        <v>201</v>
      </c>
      <c r="Q102" s="133">
        <v>248</v>
      </c>
      <c r="R102" s="132">
        <v>90</v>
      </c>
      <c r="S102" s="120">
        <v>90</v>
      </c>
      <c r="T102" s="120">
        <v>493</v>
      </c>
      <c r="U102" s="133">
        <v>493</v>
      </c>
    </row>
    <row r="103" spans="2:21" ht="15" customHeight="1">
      <c r="B103" s="97" t="s">
        <v>142</v>
      </c>
      <c r="C103" s="20" t="s">
        <v>63</v>
      </c>
      <c r="D103" s="20"/>
      <c r="E103" s="22">
        <v>84</v>
      </c>
      <c r="F103" s="127">
        <v>639</v>
      </c>
      <c r="G103" s="133">
        <v>1083</v>
      </c>
      <c r="H103" s="132">
        <v>117</v>
      </c>
      <c r="I103" s="120">
        <v>247</v>
      </c>
      <c r="J103" s="120">
        <v>6</v>
      </c>
      <c r="K103" s="120">
        <v>22</v>
      </c>
      <c r="L103" s="121">
        <f t="shared" si="6"/>
        <v>123</v>
      </c>
      <c r="M103" s="134">
        <f t="shared" si="5"/>
        <v>269</v>
      </c>
      <c r="N103" s="132">
        <v>32</v>
      </c>
      <c r="O103" s="120"/>
      <c r="P103" s="120">
        <v>77</v>
      </c>
      <c r="Q103" s="133">
        <v>110</v>
      </c>
      <c r="R103" s="132">
        <v>38</v>
      </c>
      <c r="S103" s="120">
        <v>38</v>
      </c>
      <c r="T103" s="120">
        <v>220</v>
      </c>
      <c r="U103" s="133">
        <v>220</v>
      </c>
    </row>
    <row r="104" spans="2:21" ht="15" customHeight="1">
      <c r="B104" s="97" t="s">
        <v>143</v>
      </c>
      <c r="C104" s="20"/>
      <c r="D104" s="20"/>
      <c r="E104" s="21">
        <v>85</v>
      </c>
      <c r="F104" s="127">
        <v>50</v>
      </c>
      <c r="G104" s="133">
        <v>69</v>
      </c>
      <c r="H104" s="132">
        <v>11</v>
      </c>
      <c r="I104" s="120">
        <v>19</v>
      </c>
      <c r="J104" s="120">
        <v>1</v>
      </c>
      <c r="K104" s="120">
        <v>3</v>
      </c>
      <c r="L104" s="121">
        <f t="shared" si="6"/>
        <v>12</v>
      </c>
      <c r="M104" s="134">
        <f aca="true" t="shared" si="7" ref="M104:M135">SUM(I104,K104)</f>
        <v>22</v>
      </c>
      <c r="N104" s="132">
        <v>5</v>
      </c>
      <c r="O104" s="120">
        <v>1</v>
      </c>
      <c r="P104" s="120">
        <v>28</v>
      </c>
      <c r="Q104" s="133">
        <v>34</v>
      </c>
      <c r="R104" s="132">
        <v>2</v>
      </c>
      <c r="S104" s="120">
        <v>2</v>
      </c>
      <c r="T104" s="120">
        <v>30</v>
      </c>
      <c r="U104" s="133">
        <v>30</v>
      </c>
    </row>
    <row r="105" spans="2:21" ht="15" customHeight="1">
      <c r="B105" s="97" t="s">
        <v>144</v>
      </c>
      <c r="C105" s="20"/>
      <c r="D105" s="20"/>
      <c r="E105" s="22">
        <v>86</v>
      </c>
      <c r="F105" s="127">
        <v>236</v>
      </c>
      <c r="G105" s="133">
        <v>427</v>
      </c>
      <c r="H105" s="132">
        <v>56</v>
      </c>
      <c r="I105" s="120">
        <v>103</v>
      </c>
      <c r="J105" s="120">
        <v>3</v>
      </c>
      <c r="K105" s="120">
        <v>11</v>
      </c>
      <c r="L105" s="121">
        <f t="shared" si="6"/>
        <v>59</v>
      </c>
      <c r="M105" s="134">
        <f t="shared" si="7"/>
        <v>114</v>
      </c>
      <c r="N105" s="132">
        <v>14</v>
      </c>
      <c r="O105" s="120"/>
      <c r="P105" s="120">
        <v>87</v>
      </c>
      <c r="Q105" s="133">
        <v>101</v>
      </c>
      <c r="R105" s="132">
        <v>12</v>
      </c>
      <c r="S105" s="120">
        <v>12</v>
      </c>
      <c r="T105" s="120">
        <v>71</v>
      </c>
      <c r="U105" s="133">
        <v>71</v>
      </c>
    </row>
    <row r="106" spans="2:21" ht="15" customHeight="1">
      <c r="B106" s="97" t="s">
        <v>145</v>
      </c>
      <c r="C106" s="20">
        <v>1</v>
      </c>
      <c r="D106" s="20" t="s">
        <v>52</v>
      </c>
      <c r="E106" s="22">
        <v>87</v>
      </c>
      <c r="F106" s="127">
        <v>12</v>
      </c>
      <c r="G106" s="133">
        <v>22</v>
      </c>
      <c r="H106" s="132">
        <v>4</v>
      </c>
      <c r="I106" s="120">
        <v>9</v>
      </c>
      <c r="J106" s="120"/>
      <c r="K106" s="120"/>
      <c r="L106" s="121">
        <f t="shared" si="6"/>
        <v>4</v>
      </c>
      <c r="M106" s="134">
        <f t="shared" si="7"/>
        <v>9</v>
      </c>
      <c r="N106" s="132"/>
      <c r="O106" s="120"/>
      <c r="P106" s="120">
        <v>3</v>
      </c>
      <c r="Q106" s="133">
        <v>3</v>
      </c>
      <c r="R106" s="132"/>
      <c r="S106" s="120"/>
      <c r="T106" s="120">
        <v>4</v>
      </c>
      <c r="U106" s="133">
        <v>4</v>
      </c>
    </row>
    <row r="107" spans="2:21" ht="15" customHeight="1">
      <c r="B107" s="97" t="s">
        <v>146</v>
      </c>
      <c r="C107" s="20"/>
      <c r="D107" s="20"/>
      <c r="E107" s="21">
        <v>88</v>
      </c>
      <c r="F107" s="127">
        <v>686</v>
      </c>
      <c r="G107" s="133">
        <v>1394</v>
      </c>
      <c r="H107" s="132">
        <v>145</v>
      </c>
      <c r="I107" s="120">
        <v>298</v>
      </c>
      <c r="J107" s="120">
        <v>12</v>
      </c>
      <c r="K107" s="120">
        <v>41</v>
      </c>
      <c r="L107" s="121">
        <f t="shared" si="6"/>
        <v>157</v>
      </c>
      <c r="M107" s="134">
        <f t="shared" si="7"/>
        <v>339</v>
      </c>
      <c r="N107" s="132">
        <v>26</v>
      </c>
      <c r="O107" s="120"/>
      <c r="P107" s="120">
        <v>59</v>
      </c>
      <c r="Q107" s="133">
        <v>85</v>
      </c>
      <c r="R107" s="132">
        <v>30</v>
      </c>
      <c r="S107" s="120">
        <v>30</v>
      </c>
      <c r="T107" s="120">
        <v>162</v>
      </c>
      <c r="U107" s="133">
        <v>162</v>
      </c>
    </row>
    <row r="108" spans="2:21" ht="15" customHeight="1">
      <c r="B108" s="97" t="s">
        <v>147</v>
      </c>
      <c r="C108" s="20" t="s">
        <v>63</v>
      </c>
      <c r="D108" s="20"/>
      <c r="E108" s="22">
        <v>89</v>
      </c>
      <c r="F108" s="127">
        <v>5477</v>
      </c>
      <c r="G108" s="133">
        <v>11087</v>
      </c>
      <c r="H108" s="132">
        <v>1255</v>
      </c>
      <c r="I108" s="120">
        <v>2736</v>
      </c>
      <c r="J108" s="120">
        <v>127</v>
      </c>
      <c r="K108" s="120">
        <v>447</v>
      </c>
      <c r="L108" s="121">
        <f t="shared" si="6"/>
        <v>1382</v>
      </c>
      <c r="M108" s="134">
        <f t="shared" si="7"/>
        <v>3183</v>
      </c>
      <c r="N108" s="132">
        <v>224</v>
      </c>
      <c r="O108" s="120">
        <v>1</v>
      </c>
      <c r="P108" s="120">
        <v>515</v>
      </c>
      <c r="Q108" s="133">
        <v>741</v>
      </c>
      <c r="R108" s="132">
        <v>236</v>
      </c>
      <c r="S108" s="120">
        <v>236</v>
      </c>
      <c r="T108" s="120">
        <v>1442</v>
      </c>
      <c r="U108" s="133">
        <v>1442</v>
      </c>
    </row>
    <row r="109" spans="2:21" ht="15" customHeight="1">
      <c r="B109" s="97" t="s">
        <v>148</v>
      </c>
      <c r="C109" s="20"/>
      <c r="D109" s="20"/>
      <c r="E109" s="22">
        <v>90</v>
      </c>
      <c r="F109" s="127">
        <v>30</v>
      </c>
      <c r="G109" s="133">
        <v>49</v>
      </c>
      <c r="H109" s="132">
        <v>4</v>
      </c>
      <c r="I109" s="120">
        <v>10</v>
      </c>
      <c r="J109" s="120"/>
      <c r="K109" s="120"/>
      <c r="L109" s="121">
        <f t="shared" si="6"/>
        <v>4</v>
      </c>
      <c r="M109" s="134">
        <f t="shared" si="7"/>
        <v>10</v>
      </c>
      <c r="N109" s="132">
        <v>4</v>
      </c>
      <c r="O109" s="120"/>
      <c r="P109" s="120">
        <v>6</v>
      </c>
      <c r="Q109" s="133">
        <v>10</v>
      </c>
      <c r="R109" s="132">
        <v>1</v>
      </c>
      <c r="S109" s="120">
        <v>1</v>
      </c>
      <c r="T109" s="120">
        <v>9</v>
      </c>
      <c r="U109" s="133">
        <v>9</v>
      </c>
    </row>
    <row r="110" spans="2:21" ht="15" customHeight="1">
      <c r="B110" s="97" t="s">
        <v>149</v>
      </c>
      <c r="C110" s="20"/>
      <c r="D110" s="20"/>
      <c r="E110" s="21">
        <v>91</v>
      </c>
      <c r="F110" s="127">
        <v>37</v>
      </c>
      <c r="G110" s="133">
        <v>65</v>
      </c>
      <c r="H110" s="132">
        <v>8</v>
      </c>
      <c r="I110" s="120">
        <v>14</v>
      </c>
      <c r="J110" s="120"/>
      <c r="K110" s="120">
        <v>2</v>
      </c>
      <c r="L110" s="121">
        <f t="shared" si="6"/>
        <v>8</v>
      </c>
      <c r="M110" s="134">
        <f t="shared" si="7"/>
        <v>16</v>
      </c>
      <c r="N110" s="132">
        <v>2</v>
      </c>
      <c r="O110" s="120"/>
      <c r="P110" s="120">
        <v>5</v>
      </c>
      <c r="Q110" s="133">
        <v>7</v>
      </c>
      <c r="R110" s="132">
        <v>2</v>
      </c>
      <c r="S110" s="120">
        <v>2</v>
      </c>
      <c r="T110" s="120">
        <v>18</v>
      </c>
      <c r="U110" s="133">
        <v>18</v>
      </c>
    </row>
    <row r="111" spans="2:21" ht="15" customHeight="1">
      <c r="B111" s="97" t="s">
        <v>150</v>
      </c>
      <c r="C111" s="20">
        <v>1</v>
      </c>
      <c r="D111" s="20" t="s">
        <v>52</v>
      </c>
      <c r="E111" s="22">
        <v>92</v>
      </c>
      <c r="F111" s="127">
        <v>29</v>
      </c>
      <c r="G111" s="133">
        <v>44</v>
      </c>
      <c r="H111" s="132">
        <v>6</v>
      </c>
      <c r="I111" s="120">
        <v>11</v>
      </c>
      <c r="J111" s="120"/>
      <c r="K111" s="120"/>
      <c r="L111" s="121">
        <f t="shared" si="6"/>
        <v>6</v>
      </c>
      <c r="M111" s="134">
        <f t="shared" si="7"/>
        <v>11</v>
      </c>
      <c r="N111" s="132"/>
      <c r="O111" s="120">
        <v>1</v>
      </c>
      <c r="P111" s="120">
        <v>14</v>
      </c>
      <c r="Q111" s="133">
        <v>16</v>
      </c>
      <c r="R111" s="132">
        <v>3</v>
      </c>
      <c r="S111" s="120">
        <v>3</v>
      </c>
      <c r="T111" s="120">
        <v>15</v>
      </c>
      <c r="U111" s="133">
        <v>15</v>
      </c>
    </row>
    <row r="112" spans="2:21" ht="15" customHeight="1">
      <c r="B112" s="97" t="s">
        <v>151</v>
      </c>
      <c r="C112" s="20" t="s">
        <v>63</v>
      </c>
      <c r="D112" s="20"/>
      <c r="E112" s="22">
        <v>93</v>
      </c>
      <c r="F112" s="127">
        <v>12389</v>
      </c>
      <c r="G112" s="133">
        <v>23739</v>
      </c>
      <c r="H112" s="132">
        <v>2872</v>
      </c>
      <c r="I112" s="120">
        <v>6175</v>
      </c>
      <c r="J112" s="120">
        <v>129</v>
      </c>
      <c r="K112" s="120">
        <v>471</v>
      </c>
      <c r="L112" s="121">
        <f t="shared" si="6"/>
        <v>3001</v>
      </c>
      <c r="M112" s="134">
        <f t="shared" si="7"/>
        <v>6646</v>
      </c>
      <c r="N112" s="132">
        <v>406</v>
      </c>
      <c r="O112" s="120">
        <v>5</v>
      </c>
      <c r="P112" s="120">
        <v>885</v>
      </c>
      <c r="Q112" s="133">
        <v>1297</v>
      </c>
      <c r="R112" s="132">
        <v>419</v>
      </c>
      <c r="S112" s="120">
        <v>419</v>
      </c>
      <c r="T112" s="120">
        <v>3995</v>
      </c>
      <c r="U112" s="133">
        <v>3995</v>
      </c>
    </row>
    <row r="113" spans="2:21" ht="15" customHeight="1">
      <c r="B113" s="97" t="s">
        <v>152</v>
      </c>
      <c r="C113" s="20"/>
      <c r="D113" s="20"/>
      <c r="E113" s="22">
        <v>95</v>
      </c>
      <c r="F113" s="127">
        <v>1629</v>
      </c>
      <c r="G113" s="133">
        <v>3294</v>
      </c>
      <c r="H113" s="132">
        <v>346</v>
      </c>
      <c r="I113" s="120">
        <v>798</v>
      </c>
      <c r="J113" s="120">
        <v>31</v>
      </c>
      <c r="K113" s="120">
        <v>100</v>
      </c>
      <c r="L113" s="121">
        <f aca="true" t="shared" si="8" ref="L113:L138">SUM(H113,J113)</f>
        <v>377</v>
      </c>
      <c r="M113" s="134">
        <f t="shared" si="7"/>
        <v>898</v>
      </c>
      <c r="N113" s="132">
        <v>62</v>
      </c>
      <c r="O113" s="120">
        <v>1</v>
      </c>
      <c r="P113" s="120">
        <v>190</v>
      </c>
      <c r="Q113" s="133">
        <v>254</v>
      </c>
      <c r="R113" s="132">
        <v>66</v>
      </c>
      <c r="S113" s="120">
        <v>66</v>
      </c>
      <c r="T113" s="120">
        <v>431</v>
      </c>
      <c r="U113" s="133">
        <v>431</v>
      </c>
    </row>
    <row r="114" spans="2:21" ht="15" customHeight="1">
      <c r="B114" s="97" t="s">
        <v>153</v>
      </c>
      <c r="C114" s="20"/>
      <c r="D114" s="20"/>
      <c r="E114" s="22">
        <v>96</v>
      </c>
      <c r="F114" s="127">
        <v>254</v>
      </c>
      <c r="G114" s="133">
        <v>402</v>
      </c>
      <c r="H114" s="132">
        <v>39</v>
      </c>
      <c r="I114" s="120">
        <v>73</v>
      </c>
      <c r="J114" s="120">
        <v>4</v>
      </c>
      <c r="K114" s="120">
        <v>16</v>
      </c>
      <c r="L114" s="121">
        <f t="shared" si="8"/>
        <v>43</v>
      </c>
      <c r="M114" s="134">
        <f t="shared" si="7"/>
        <v>89</v>
      </c>
      <c r="N114" s="132">
        <v>17</v>
      </c>
      <c r="O114" s="120"/>
      <c r="P114" s="120">
        <v>38</v>
      </c>
      <c r="Q114" s="133">
        <v>55</v>
      </c>
      <c r="R114" s="132">
        <v>18</v>
      </c>
      <c r="S114" s="120">
        <v>18</v>
      </c>
      <c r="T114" s="120">
        <v>89</v>
      </c>
      <c r="U114" s="133">
        <v>89</v>
      </c>
    </row>
    <row r="115" spans="2:21" ht="15" customHeight="1">
      <c r="B115" s="97" t="s">
        <v>154</v>
      </c>
      <c r="C115" s="20"/>
      <c r="D115" s="20"/>
      <c r="E115" s="21">
        <v>94</v>
      </c>
      <c r="F115" s="127">
        <v>292</v>
      </c>
      <c r="G115" s="133">
        <v>485</v>
      </c>
      <c r="H115" s="132">
        <v>51</v>
      </c>
      <c r="I115" s="120">
        <v>104</v>
      </c>
      <c r="J115" s="120">
        <v>2</v>
      </c>
      <c r="K115" s="120">
        <v>8</v>
      </c>
      <c r="L115" s="121">
        <f t="shared" si="8"/>
        <v>53</v>
      </c>
      <c r="M115" s="134">
        <f t="shared" si="7"/>
        <v>112</v>
      </c>
      <c r="N115" s="132">
        <v>29</v>
      </c>
      <c r="O115" s="120">
        <v>3</v>
      </c>
      <c r="P115" s="120">
        <v>28</v>
      </c>
      <c r="Q115" s="133">
        <v>61</v>
      </c>
      <c r="R115" s="132">
        <v>18</v>
      </c>
      <c r="S115" s="120">
        <v>18</v>
      </c>
      <c r="T115" s="120">
        <v>100</v>
      </c>
      <c r="U115" s="133">
        <v>100</v>
      </c>
    </row>
    <row r="116" spans="2:21" ht="15" customHeight="1">
      <c r="B116" s="97" t="s">
        <v>155</v>
      </c>
      <c r="C116" s="20"/>
      <c r="D116" s="20"/>
      <c r="E116" s="21">
        <v>97</v>
      </c>
      <c r="F116" s="127">
        <v>82</v>
      </c>
      <c r="G116" s="133">
        <v>119</v>
      </c>
      <c r="H116" s="132">
        <v>16</v>
      </c>
      <c r="I116" s="120">
        <v>27</v>
      </c>
      <c r="J116" s="120">
        <v>1</v>
      </c>
      <c r="K116" s="120">
        <v>4</v>
      </c>
      <c r="L116" s="121">
        <f t="shared" si="8"/>
        <v>17</v>
      </c>
      <c r="M116" s="134">
        <f t="shared" si="7"/>
        <v>31</v>
      </c>
      <c r="N116" s="132">
        <v>5</v>
      </c>
      <c r="O116" s="120"/>
      <c r="P116" s="120">
        <v>8</v>
      </c>
      <c r="Q116" s="133">
        <v>14</v>
      </c>
      <c r="R116" s="132">
        <v>3</v>
      </c>
      <c r="S116" s="120">
        <v>3</v>
      </c>
      <c r="T116" s="120">
        <v>62</v>
      </c>
      <c r="U116" s="133">
        <v>62</v>
      </c>
    </row>
    <row r="117" spans="2:21" ht="15" customHeight="1">
      <c r="B117" s="97" t="s">
        <v>156</v>
      </c>
      <c r="C117" s="20">
        <v>1</v>
      </c>
      <c r="D117" s="20" t="s">
        <v>52</v>
      </c>
      <c r="E117" s="22">
        <v>98</v>
      </c>
      <c r="F117" s="127">
        <v>10</v>
      </c>
      <c r="G117" s="133">
        <v>16</v>
      </c>
      <c r="H117" s="132">
        <v>4</v>
      </c>
      <c r="I117" s="120">
        <v>10</v>
      </c>
      <c r="J117" s="120"/>
      <c r="K117" s="120"/>
      <c r="L117" s="121">
        <f t="shared" si="8"/>
        <v>4</v>
      </c>
      <c r="M117" s="134">
        <f t="shared" si="7"/>
        <v>10</v>
      </c>
      <c r="N117" s="132">
        <v>1</v>
      </c>
      <c r="O117" s="120"/>
      <c r="P117" s="120">
        <v>11</v>
      </c>
      <c r="Q117" s="133">
        <v>12</v>
      </c>
      <c r="R117" s="132"/>
      <c r="S117" s="120"/>
      <c r="T117" s="120">
        <v>4</v>
      </c>
      <c r="U117" s="133">
        <v>4</v>
      </c>
    </row>
    <row r="118" spans="2:21" ht="15" customHeight="1">
      <c r="B118" s="97" t="s">
        <v>157</v>
      </c>
      <c r="C118" s="20"/>
      <c r="D118" s="20"/>
      <c r="E118" s="22">
        <v>99</v>
      </c>
      <c r="F118" s="127">
        <v>82</v>
      </c>
      <c r="G118" s="133">
        <v>124</v>
      </c>
      <c r="H118" s="132">
        <v>18</v>
      </c>
      <c r="I118" s="120">
        <v>29</v>
      </c>
      <c r="J118" s="120">
        <v>1</v>
      </c>
      <c r="K118" s="120">
        <v>3</v>
      </c>
      <c r="L118" s="121">
        <f t="shared" si="8"/>
        <v>19</v>
      </c>
      <c r="M118" s="134">
        <f t="shared" si="7"/>
        <v>32</v>
      </c>
      <c r="N118" s="132">
        <v>4</v>
      </c>
      <c r="O118" s="120"/>
      <c r="P118" s="120">
        <v>11</v>
      </c>
      <c r="Q118" s="133">
        <v>16</v>
      </c>
      <c r="R118" s="132">
        <v>4</v>
      </c>
      <c r="S118" s="120">
        <v>4</v>
      </c>
      <c r="T118" s="120">
        <v>40</v>
      </c>
      <c r="U118" s="133">
        <v>40</v>
      </c>
    </row>
    <row r="119" spans="2:21" ht="15" customHeight="1">
      <c r="B119" s="97" t="s">
        <v>158</v>
      </c>
      <c r="C119" s="20">
        <v>1</v>
      </c>
      <c r="D119" s="20" t="s">
        <v>52</v>
      </c>
      <c r="E119" s="21">
        <v>100</v>
      </c>
      <c r="F119" s="127">
        <v>36</v>
      </c>
      <c r="G119" s="133">
        <v>59</v>
      </c>
      <c r="H119" s="132">
        <v>6</v>
      </c>
      <c r="I119" s="120">
        <v>10</v>
      </c>
      <c r="J119" s="120"/>
      <c r="K119" s="120"/>
      <c r="L119" s="121">
        <f t="shared" si="8"/>
        <v>6</v>
      </c>
      <c r="M119" s="134">
        <f t="shared" si="7"/>
        <v>10</v>
      </c>
      <c r="N119" s="132"/>
      <c r="O119" s="120"/>
      <c r="P119" s="120">
        <v>6</v>
      </c>
      <c r="Q119" s="133">
        <v>6</v>
      </c>
      <c r="R119" s="132">
        <v>1</v>
      </c>
      <c r="S119" s="120">
        <v>1</v>
      </c>
      <c r="T119" s="120">
        <v>19</v>
      </c>
      <c r="U119" s="133">
        <v>19</v>
      </c>
    </row>
    <row r="120" spans="2:21" ht="15" customHeight="1">
      <c r="B120" s="97" t="s">
        <v>159</v>
      </c>
      <c r="C120" s="20"/>
      <c r="D120" s="20"/>
      <c r="E120" s="22">
        <v>101</v>
      </c>
      <c r="F120" s="127">
        <v>167</v>
      </c>
      <c r="G120" s="133">
        <v>271</v>
      </c>
      <c r="H120" s="132">
        <v>40</v>
      </c>
      <c r="I120" s="120">
        <v>69</v>
      </c>
      <c r="J120" s="120">
        <v>1</v>
      </c>
      <c r="K120" s="120">
        <v>5</v>
      </c>
      <c r="L120" s="121">
        <f t="shared" si="8"/>
        <v>41</v>
      </c>
      <c r="M120" s="134">
        <f t="shared" si="7"/>
        <v>74</v>
      </c>
      <c r="N120" s="132">
        <v>16</v>
      </c>
      <c r="O120" s="120"/>
      <c r="P120" s="120">
        <v>46</v>
      </c>
      <c r="Q120" s="133">
        <v>63</v>
      </c>
      <c r="R120" s="132">
        <v>11</v>
      </c>
      <c r="S120" s="120">
        <v>11</v>
      </c>
      <c r="T120" s="120">
        <v>69</v>
      </c>
      <c r="U120" s="133">
        <v>69</v>
      </c>
    </row>
    <row r="121" spans="2:21" ht="15" customHeight="1">
      <c r="B121" s="97" t="s">
        <v>160</v>
      </c>
      <c r="C121" s="20">
        <v>1</v>
      </c>
      <c r="D121" s="20" t="s">
        <v>47</v>
      </c>
      <c r="E121" s="22">
        <v>102</v>
      </c>
      <c r="F121" s="127">
        <v>30</v>
      </c>
      <c r="G121" s="133">
        <v>63</v>
      </c>
      <c r="H121" s="132">
        <v>7</v>
      </c>
      <c r="I121" s="120">
        <v>16</v>
      </c>
      <c r="J121" s="120"/>
      <c r="K121" s="120"/>
      <c r="L121" s="121">
        <f t="shared" si="8"/>
        <v>7</v>
      </c>
      <c r="M121" s="134">
        <f t="shared" si="7"/>
        <v>16</v>
      </c>
      <c r="N121" s="132"/>
      <c r="O121" s="120">
        <v>1</v>
      </c>
      <c r="P121" s="120">
        <v>6</v>
      </c>
      <c r="Q121" s="133">
        <v>7</v>
      </c>
      <c r="R121" s="132">
        <v>2</v>
      </c>
      <c r="S121" s="120">
        <v>2</v>
      </c>
      <c r="T121" s="120">
        <v>14</v>
      </c>
      <c r="U121" s="133">
        <v>14</v>
      </c>
    </row>
    <row r="122" spans="2:21" ht="15" customHeight="1">
      <c r="B122" s="97" t="s">
        <v>161</v>
      </c>
      <c r="C122" s="20" t="s">
        <v>63</v>
      </c>
      <c r="D122" s="20"/>
      <c r="E122" s="21">
        <v>103</v>
      </c>
      <c r="F122" s="127">
        <v>1509</v>
      </c>
      <c r="G122" s="133">
        <v>2772</v>
      </c>
      <c r="H122" s="132">
        <v>350</v>
      </c>
      <c r="I122" s="120">
        <v>670</v>
      </c>
      <c r="J122" s="120">
        <v>15</v>
      </c>
      <c r="K122" s="120">
        <v>42</v>
      </c>
      <c r="L122" s="121">
        <f t="shared" si="8"/>
        <v>365</v>
      </c>
      <c r="M122" s="134">
        <f t="shared" si="7"/>
        <v>712</v>
      </c>
      <c r="N122" s="132">
        <v>78</v>
      </c>
      <c r="O122" s="120">
        <v>2</v>
      </c>
      <c r="P122" s="120">
        <v>190</v>
      </c>
      <c r="Q122" s="133">
        <v>270</v>
      </c>
      <c r="R122" s="132">
        <v>84</v>
      </c>
      <c r="S122" s="120">
        <v>84</v>
      </c>
      <c r="T122" s="120">
        <v>502</v>
      </c>
      <c r="U122" s="133">
        <v>502</v>
      </c>
    </row>
    <row r="123" spans="2:21" ht="15" customHeight="1">
      <c r="B123" s="97" t="s">
        <v>162</v>
      </c>
      <c r="C123" s="20"/>
      <c r="D123" s="20"/>
      <c r="E123" s="22">
        <v>104</v>
      </c>
      <c r="F123" s="127">
        <v>1907</v>
      </c>
      <c r="G123" s="133">
        <v>3665</v>
      </c>
      <c r="H123" s="132">
        <v>340</v>
      </c>
      <c r="I123" s="120">
        <v>741</v>
      </c>
      <c r="J123" s="120">
        <v>29</v>
      </c>
      <c r="K123" s="120">
        <v>103</v>
      </c>
      <c r="L123" s="121">
        <f t="shared" si="8"/>
        <v>369</v>
      </c>
      <c r="M123" s="134">
        <f t="shared" si="7"/>
        <v>844</v>
      </c>
      <c r="N123" s="132">
        <v>75</v>
      </c>
      <c r="O123" s="120">
        <v>1</v>
      </c>
      <c r="P123" s="120">
        <v>271</v>
      </c>
      <c r="Q123" s="133">
        <v>348</v>
      </c>
      <c r="R123" s="132">
        <v>85</v>
      </c>
      <c r="S123" s="120">
        <v>89</v>
      </c>
      <c r="T123" s="120">
        <v>478</v>
      </c>
      <c r="U123" s="133">
        <v>484</v>
      </c>
    </row>
    <row r="124" spans="2:21" ht="15" customHeight="1">
      <c r="B124" s="97" t="s">
        <v>163</v>
      </c>
      <c r="C124" s="20"/>
      <c r="D124" s="20"/>
      <c r="E124" s="22">
        <v>105</v>
      </c>
      <c r="F124" s="127">
        <v>26</v>
      </c>
      <c r="G124" s="133">
        <v>35</v>
      </c>
      <c r="H124" s="132">
        <v>4</v>
      </c>
      <c r="I124" s="120">
        <v>8</v>
      </c>
      <c r="J124" s="120"/>
      <c r="K124" s="120"/>
      <c r="L124" s="121">
        <f t="shared" si="8"/>
        <v>4</v>
      </c>
      <c r="M124" s="134">
        <f t="shared" si="7"/>
        <v>8</v>
      </c>
      <c r="N124" s="132">
        <v>2</v>
      </c>
      <c r="O124" s="120"/>
      <c r="P124" s="120">
        <v>11</v>
      </c>
      <c r="Q124" s="133">
        <v>14</v>
      </c>
      <c r="R124" s="132">
        <v>1</v>
      </c>
      <c r="S124" s="120">
        <v>1</v>
      </c>
      <c r="T124" s="120">
        <v>14</v>
      </c>
      <c r="U124" s="133">
        <v>14</v>
      </c>
    </row>
    <row r="125" spans="2:21" ht="15" customHeight="1">
      <c r="B125" s="97" t="s">
        <v>204</v>
      </c>
      <c r="C125" s="20"/>
      <c r="D125" s="20"/>
      <c r="E125" s="21">
        <v>106</v>
      </c>
      <c r="F125" s="127">
        <v>68</v>
      </c>
      <c r="G125" s="133">
        <v>108</v>
      </c>
      <c r="H125" s="132">
        <v>13</v>
      </c>
      <c r="I125" s="120">
        <v>26</v>
      </c>
      <c r="J125" s="120">
        <v>2</v>
      </c>
      <c r="K125" s="120">
        <v>4</v>
      </c>
      <c r="L125" s="121">
        <f t="shared" si="8"/>
        <v>15</v>
      </c>
      <c r="M125" s="134">
        <f t="shared" si="7"/>
        <v>30</v>
      </c>
      <c r="N125" s="132">
        <v>6</v>
      </c>
      <c r="O125" s="120"/>
      <c r="P125" s="120">
        <v>15</v>
      </c>
      <c r="Q125" s="133">
        <v>22</v>
      </c>
      <c r="R125" s="132">
        <v>5</v>
      </c>
      <c r="S125" s="120">
        <v>5</v>
      </c>
      <c r="T125" s="120">
        <v>25</v>
      </c>
      <c r="U125" s="133">
        <v>25</v>
      </c>
    </row>
    <row r="126" spans="2:21" ht="15" customHeight="1">
      <c r="B126" s="97" t="s">
        <v>205</v>
      </c>
      <c r="C126" s="20"/>
      <c r="D126" s="20"/>
      <c r="E126" s="22">
        <v>107</v>
      </c>
      <c r="F126" s="127">
        <v>47</v>
      </c>
      <c r="G126" s="133">
        <v>59</v>
      </c>
      <c r="H126" s="132">
        <v>8</v>
      </c>
      <c r="I126" s="120">
        <v>12</v>
      </c>
      <c r="J126" s="120"/>
      <c r="K126" s="120"/>
      <c r="L126" s="121">
        <f t="shared" si="8"/>
        <v>8</v>
      </c>
      <c r="M126" s="134">
        <f t="shared" si="7"/>
        <v>12</v>
      </c>
      <c r="N126" s="132">
        <v>6</v>
      </c>
      <c r="O126" s="120"/>
      <c r="P126" s="120">
        <v>17</v>
      </c>
      <c r="Q126" s="133">
        <v>23</v>
      </c>
      <c r="R126" s="132">
        <v>4</v>
      </c>
      <c r="S126" s="120">
        <v>4</v>
      </c>
      <c r="T126" s="120">
        <v>27</v>
      </c>
      <c r="U126" s="133">
        <v>27</v>
      </c>
    </row>
    <row r="127" spans="2:21" ht="15" customHeight="1">
      <c r="B127" s="97" t="s">
        <v>206</v>
      </c>
      <c r="C127" s="20"/>
      <c r="D127" s="20"/>
      <c r="E127" s="22">
        <v>108</v>
      </c>
      <c r="F127" s="127">
        <v>41</v>
      </c>
      <c r="G127" s="133">
        <v>83</v>
      </c>
      <c r="H127" s="132">
        <v>8</v>
      </c>
      <c r="I127" s="120">
        <v>15</v>
      </c>
      <c r="J127" s="120">
        <v>1</v>
      </c>
      <c r="K127" s="120">
        <v>6</v>
      </c>
      <c r="L127" s="121">
        <f t="shared" si="8"/>
        <v>9</v>
      </c>
      <c r="M127" s="134">
        <f t="shared" si="7"/>
        <v>21</v>
      </c>
      <c r="N127" s="132">
        <v>1</v>
      </c>
      <c r="O127" s="120"/>
      <c r="P127" s="120">
        <v>15</v>
      </c>
      <c r="Q127" s="133">
        <v>16</v>
      </c>
      <c r="R127" s="132">
        <v>4</v>
      </c>
      <c r="S127" s="120">
        <v>4</v>
      </c>
      <c r="T127" s="120">
        <v>22</v>
      </c>
      <c r="U127" s="133">
        <v>22</v>
      </c>
    </row>
    <row r="128" spans="2:21" ht="15" customHeight="1">
      <c r="B128" s="97" t="s">
        <v>207</v>
      </c>
      <c r="C128" s="20">
        <v>1</v>
      </c>
      <c r="D128" s="20" t="s">
        <v>47</v>
      </c>
      <c r="E128" s="21">
        <v>109</v>
      </c>
      <c r="F128" s="127">
        <v>388</v>
      </c>
      <c r="G128" s="133">
        <v>798</v>
      </c>
      <c r="H128" s="132">
        <v>73</v>
      </c>
      <c r="I128" s="120">
        <v>152</v>
      </c>
      <c r="J128" s="120">
        <v>3</v>
      </c>
      <c r="K128" s="120">
        <v>12</v>
      </c>
      <c r="L128" s="121">
        <f t="shared" si="8"/>
        <v>76</v>
      </c>
      <c r="M128" s="134">
        <f t="shared" si="7"/>
        <v>164</v>
      </c>
      <c r="N128" s="132">
        <v>6</v>
      </c>
      <c r="O128" s="120"/>
      <c r="P128" s="120">
        <v>56</v>
      </c>
      <c r="Q128" s="133">
        <v>63</v>
      </c>
      <c r="R128" s="132">
        <v>14</v>
      </c>
      <c r="S128" s="120">
        <v>14</v>
      </c>
      <c r="T128" s="120">
        <v>97</v>
      </c>
      <c r="U128" s="133">
        <v>97</v>
      </c>
    </row>
    <row r="129" spans="2:21" ht="15" customHeight="1">
      <c r="B129" s="97" t="s">
        <v>208</v>
      </c>
      <c r="C129" s="20"/>
      <c r="D129" s="20"/>
      <c r="E129" s="22">
        <v>110</v>
      </c>
      <c r="F129" s="127">
        <v>291</v>
      </c>
      <c r="G129" s="133">
        <v>452</v>
      </c>
      <c r="H129" s="132">
        <v>48</v>
      </c>
      <c r="I129" s="120">
        <v>96</v>
      </c>
      <c r="J129" s="120">
        <v>3</v>
      </c>
      <c r="K129" s="120">
        <v>12</v>
      </c>
      <c r="L129" s="121">
        <f t="shared" si="8"/>
        <v>51</v>
      </c>
      <c r="M129" s="134">
        <f t="shared" si="7"/>
        <v>108</v>
      </c>
      <c r="N129" s="132">
        <v>20</v>
      </c>
      <c r="O129" s="120"/>
      <c r="P129" s="120">
        <v>50</v>
      </c>
      <c r="Q129" s="133">
        <v>71</v>
      </c>
      <c r="R129" s="132">
        <v>19</v>
      </c>
      <c r="S129" s="120">
        <v>19</v>
      </c>
      <c r="T129" s="120">
        <v>103</v>
      </c>
      <c r="U129" s="133">
        <v>103</v>
      </c>
    </row>
    <row r="130" spans="2:21" ht="15" customHeight="1">
      <c r="B130" s="97" t="s">
        <v>209</v>
      </c>
      <c r="C130" s="20">
        <v>1</v>
      </c>
      <c r="D130" s="20" t="s">
        <v>52</v>
      </c>
      <c r="E130" s="22">
        <v>111</v>
      </c>
      <c r="F130" s="127">
        <v>197</v>
      </c>
      <c r="G130" s="133">
        <v>359</v>
      </c>
      <c r="H130" s="132">
        <v>37</v>
      </c>
      <c r="I130" s="120">
        <v>72</v>
      </c>
      <c r="J130" s="120">
        <v>1</v>
      </c>
      <c r="K130" s="120">
        <v>4</v>
      </c>
      <c r="L130" s="121">
        <f t="shared" si="8"/>
        <v>38</v>
      </c>
      <c r="M130" s="134">
        <f t="shared" si="7"/>
        <v>76</v>
      </c>
      <c r="N130" s="132">
        <v>12</v>
      </c>
      <c r="O130" s="120"/>
      <c r="P130" s="120">
        <v>18</v>
      </c>
      <c r="Q130" s="133">
        <v>30</v>
      </c>
      <c r="R130" s="132">
        <v>10</v>
      </c>
      <c r="S130" s="120">
        <v>10</v>
      </c>
      <c r="T130" s="120">
        <v>67</v>
      </c>
      <c r="U130" s="133">
        <v>67</v>
      </c>
    </row>
    <row r="131" spans="2:21" ht="15" customHeight="1">
      <c r="B131" s="97" t="s">
        <v>210</v>
      </c>
      <c r="C131" s="20">
        <v>1</v>
      </c>
      <c r="D131" s="20" t="s">
        <v>47</v>
      </c>
      <c r="E131" s="21">
        <v>112</v>
      </c>
      <c r="F131" s="127">
        <v>31</v>
      </c>
      <c r="G131" s="133">
        <v>65</v>
      </c>
      <c r="H131" s="132">
        <v>4</v>
      </c>
      <c r="I131" s="120">
        <v>8</v>
      </c>
      <c r="J131" s="120"/>
      <c r="K131" s="120">
        <v>1</v>
      </c>
      <c r="L131" s="121">
        <f t="shared" si="8"/>
        <v>4</v>
      </c>
      <c r="M131" s="134">
        <f t="shared" si="7"/>
        <v>9</v>
      </c>
      <c r="N131" s="132">
        <v>11</v>
      </c>
      <c r="O131" s="120"/>
      <c r="P131" s="120">
        <v>4</v>
      </c>
      <c r="Q131" s="133">
        <v>16</v>
      </c>
      <c r="R131" s="132">
        <v>3</v>
      </c>
      <c r="S131" s="120">
        <v>3</v>
      </c>
      <c r="T131" s="120">
        <v>11</v>
      </c>
      <c r="U131" s="133">
        <v>11</v>
      </c>
    </row>
    <row r="132" spans="2:21" ht="15" customHeight="1">
      <c r="B132" s="97" t="s">
        <v>211</v>
      </c>
      <c r="C132" s="20"/>
      <c r="D132" s="20"/>
      <c r="E132" s="22">
        <v>113</v>
      </c>
      <c r="F132" s="127">
        <v>118</v>
      </c>
      <c r="G132" s="133">
        <v>222</v>
      </c>
      <c r="H132" s="132">
        <v>24</v>
      </c>
      <c r="I132" s="120">
        <v>63</v>
      </c>
      <c r="J132" s="120"/>
      <c r="K132" s="120">
        <v>1</v>
      </c>
      <c r="L132" s="121">
        <f t="shared" si="8"/>
        <v>24</v>
      </c>
      <c r="M132" s="134">
        <f t="shared" si="7"/>
        <v>64</v>
      </c>
      <c r="N132" s="132">
        <v>28</v>
      </c>
      <c r="O132" s="120"/>
      <c r="P132" s="120">
        <v>28</v>
      </c>
      <c r="Q132" s="133">
        <v>56</v>
      </c>
      <c r="R132" s="132">
        <v>5</v>
      </c>
      <c r="S132" s="120">
        <v>5</v>
      </c>
      <c r="T132" s="120">
        <v>39</v>
      </c>
      <c r="U132" s="133">
        <v>39</v>
      </c>
    </row>
    <row r="133" spans="2:21" ht="15" customHeight="1">
      <c r="B133" s="97" t="s">
        <v>212</v>
      </c>
      <c r="C133" s="20">
        <v>1</v>
      </c>
      <c r="D133" s="20" t="s">
        <v>47</v>
      </c>
      <c r="E133" s="22">
        <v>114</v>
      </c>
      <c r="F133" s="127">
        <v>52</v>
      </c>
      <c r="G133" s="133">
        <v>84</v>
      </c>
      <c r="H133" s="132">
        <v>9</v>
      </c>
      <c r="I133" s="120">
        <v>21</v>
      </c>
      <c r="J133" s="120">
        <v>1</v>
      </c>
      <c r="K133" s="120">
        <v>4</v>
      </c>
      <c r="L133" s="121">
        <f t="shared" si="8"/>
        <v>10</v>
      </c>
      <c r="M133" s="134">
        <f t="shared" si="7"/>
        <v>25</v>
      </c>
      <c r="N133" s="132"/>
      <c r="O133" s="120"/>
      <c r="P133" s="120">
        <v>15</v>
      </c>
      <c r="Q133" s="133">
        <v>15</v>
      </c>
      <c r="R133" s="132">
        <v>3</v>
      </c>
      <c r="S133" s="120">
        <v>3</v>
      </c>
      <c r="T133" s="120">
        <v>18</v>
      </c>
      <c r="U133" s="133">
        <v>18</v>
      </c>
    </row>
    <row r="134" spans="2:21" ht="15" customHeight="1">
      <c r="B134" s="97" t="s">
        <v>213</v>
      </c>
      <c r="C134" s="20"/>
      <c r="D134" s="20"/>
      <c r="E134" s="21">
        <v>115</v>
      </c>
      <c r="F134" s="127">
        <v>39</v>
      </c>
      <c r="G134" s="133">
        <v>71</v>
      </c>
      <c r="H134" s="132">
        <v>9</v>
      </c>
      <c r="I134" s="120">
        <v>14</v>
      </c>
      <c r="J134" s="120"/>
      <c r="K134" s="120">
        <v>1</v>
      </c>
      <c r="L134" s="121">
        <f t="shared" si="8"/>
        <v>9</v>
      </c>
      <c r="M134" s="134">
        <f t="shared" si="7"/>
        <v>15</v>
      </c>
      <c r="N134" s="132">
        <v>3</v>
      </c>
      <c r="O134" s="120"/>
      <c r="P134" s="120">
        <v>12</v>
      </c>
      <c r="Q134" s="133">
        <v>15</v>
      </c>
      <c r="R134" s="132">
        <v>3</v>
      </c>
      <c r="S134" s="120">
        <v>3</v>
      </c>
      <c r="T134" s="120">
        <v>17</v>
      </c>
      <c r="U134" s="133">
        <v>17</v>
      </c>
    </row>
    <row r="135" spans="2:21" ht="15" customHeight="1">
      <c r="B135" s="97" t="s">
        <v>214</v>
      </c>
      <c r="C135" s="20">
        <v>1</v>
      </c>
      <c r="D135" s="20" t="s">
        <v>47</v>
      </c>
      <c r="E135" s="22">
        <v>116</v>
      </c>
      <c r="F135" s="127">
        <v>326</v>
      </c>
      <c r="G135" s="133">
        <v>621</v>
      </c>
      <c r="H135" s="132">
        <v>60</v>
      </c>
      <c r="I135" s="120">
        <v>127</v>
      </c>
      <c r="J135" s="120">
        <v>5</v>
      </c>
      <c r="K135" s="120">
        <v>19</v>
      </c>
      <c r="L135" s="121">
        <f t="shared" si="8"/>
        <v>65</v>
      </c>
      <c r="M135" s="134">
        <f t="shared" si="7"/>
        <v>146</v>
      </c>
      <c r="N135" s="132">
        <v>29</v>
      </c>
      <c r="O135" s="120"/>
      <c r="P135" s="120">
        <v>31</v>
      </c>
      <c r="Q135" s="133">
        <v>61</v>
      </c>
      <c r="R135" s="132">
        <v>19</v>
      </c>
      <c r="S135" s="120">
        <v>19</v>
      </c>
      <c r="T135" s="120">
        <v>96</v>
      </c>
      <c r="U135" s="133">
        <v>96</v>
      </c>
    </row>
    <row r="136" spans="2:21" ht="15" customHeight="1">
      <c r="B136" s="97" t="s">
        <v>215</v>
      </c>
      <c r="C136" s="20"/>
      <c r="D136" s="20"/>
      <c r="E136" s="22">
        <v>117</v>
      </c>
      <c r="F136" s="127">
        <v>7</v>
      </c>
      <c r="G136" s="133">
        <v>12</v>
      </c>
      <c r="H136" s="132">
        <v>2</v>
      </c>
      <c r="I136" s="120">
        <v>5</v>
      </c>
      <c r="J136" s="120"/>
      <c r="K136" s="120"/>
      <c r="L136" s="121">
        <f t="shared" si="8"/>
        <v>2</v>
      </c>
      <c r="M136" s="134">
        <f aca="true" t="shared" si="9" ref="M136:M167">SUM(I136,K136)</f>
        <v>5</v>
      </c>
      <c r="N136" s="132"/>
      <c r="O136" s="120"/>
      <c r="P136" s="120"/>
      <c r="Q136" s="133">
        <v>1</v>
      </c>
      <c r="R136" s="132"/>
      <c r="S136" s="120"/>
      <c r="T136" s="120">
        <v>2</v>
      </c>
      <c r="U136" s="133">
        <v>2</v>
      </c>
    </row>
    <row r="137" spans="2:21" ht="15" customHeight="1">
      <c r="B137" s="97" t="s">
        <v>216</v>
      </c>
      <c r="C137" s="20"/>
      <c r="D137" s="20"/>
      <c r="E137" s="21">
        <v>118</v>
      </c>
      <c r="F137" s="127">
        <v>42</v>
      </c>
      <c r="G137" s="133">
        <v>59</v>
      </c>
      <c r="H137" s="132">
        <v>3</v>
      </c>
      <c r="I137" s="120">
        <v>4</v>
      </c>
      <c r="J137" s="120"/>
      <c r="K137" s="120"/>
      <c r="L137" s="121">
        <f t="shared" si="8"/>
        <v>3</v>
      </c>
      <c r="M137" s="134">
        <f t="shared" si="9"/>
        <v>4</v>
      </c>
      <c r="N137" s="132">
        <v>1</v>
      </c>
      <c r="O137" s="120"/>
      <c r="P137" s="120">
        <v>3</v>
      </c>
      <c r="Q137" s="133">
        <v>4</v>
      </c>
      <c r="R137" s="132"/>
      <c r="S137" s="120"/>
      <c r="T137" s="120">
        <v>15</v>
      </c>
      <c r="U137" s="133">
        <v>15</v>
      </c>
    </row>
    <row r="138" spans="2:21" ht="15" customHeight="1">
      <c r="B138" s="97" t="s">
        <v>217</v>
      </c>
      <c r="C138" s="20"/>
      <c r="D138" s="20"/>
      <c r="E138" s="22">
        <v>119</v>
      </c>
      <c r="F138" s="127">
        <v>120</v>
      </c>
      <c r="G138" s="133">
        <v>171</v>
      </c>
      <c r="H138" s="132">
        <v>12</v>
      </c>
      <c r="I138" s="120">
        <v>21</v>
      </c>
      <c r="J138" s="120">
        <v>2</v>
      </c>
      <c r="K138" s="120">
        <v>7</v>
      </c>
      <c r="L138" s="121">
        <f t="shared" si="8"/>
        <v>14</v>
      </c>
      <c r="M138" s="134">
        <f t="shared" si="9"/>
        <v>28</v>
      </c>
      <c r="N138" s="132">
        <v>23</v>
      </c>
      <c r="O138" s="120"/>
      <c r="P138" s="120">
        <v>32</v>
      </c>
      <c r="Q138" s="133">
        <v>56</v>
      </c>
      <c r="R138" s="132">
        <v>10</v>
      </c>
      <c r="S138" s="120">
        <v>10</v>
      </c>
      <c r="T138" s="120">
        <v>45</v>
      </c>
      <c r="U138" s="133">
        <v>45</v>
      </c>
    </row>
    <row r="139" spans="2:21" ht="15" customHeight="1">
      <c r="B139" s="97" t="s">
        <v>218</v>
      </c>
      <c r="C139" s="20">
        <v>1</v>
      </c>
      <c r="D139" s="20" t="s">
        <v>52</v>
      </c>
      <c r="E139" s="22">
        <v>120</v>
      </c>
      <c r="F139" s="127">
        <v>3</v>
      </c>
      <c r="G139" s="133">
        <v>6</v>
      </c>
      <c r="H139" s="132"/>
      <c r="I139" s="120">
        <v>1</v>
      </c>
      <c r="J139" s="120"/>
      <c r="K139" s="120"/>
      <c r="L139" s="121"/>
      <c r="M139" s="134">
        <f t="shared" si="9"/>
        <v>1</v>
      </c>
      <c r="N139" s="132">
        <v>2</v>
      </c>
      <c r="O139" s="120"/>
      <c r="P139" s="120">
        <v>7</v>
      </c>
      <c r="Q139" s="133">
        <v>9</v>
      </c>
      <c r="R139" s="132"/>
      <c r="S139" s="120"/>
      <c r="T139" s="120">
        <v>1</v>
      </c>
      <c r="U139" s="133">
        <v>1</v>
      </c>
    </row>
    <row r="140" spans="2:21" ht="15" customHeight="1">
      <c r="B140" s="97" t="s">
        <v>219</v>
      </c>
      <c r="C140" s="20">
        <v>1</v>
      </c>
      <c r="D140" s="20" t="s">
        <v>47</v>
      </c>
      <c r="E140" s="21">
        <v>121</v>
      </c>
      <c r="F140" s="127">
        <v>21</v>
      </c>
      <c r="G140" s="133">
        <v>33</v>
      </c>
      <c r="H140" s="132">
        <v>5</v>
      </c>
      <c r="I140" s="120">
        <v>8</v>
      </c>
      <c r="J140" s="120"/>
      <c r="K140" s="120"/>
      <c r="L140" s="121">
        <f aca="true" t="shared" si="10" ref="L140:L171">SUM(H140,J140)</f>
        <v>5</v>
      </c>
      <c r="M140" s="134">
        <f t="shared" si="9"/>
        <v>8</v>
      </c>
      <c r="N140" s="132">
        <v>1</v>
      </c>
      <c r="O140" s="120"/>
      <c r="P140" s="120">
        <v>10</v>
      </c>
      <c r="Q140" s="133">
        <v>11</v>
      </c>
      <c r="R140" s="132">
        <v>2</v>
      </c>
      <c r="S140" s="120">
        <v>2</v>
      </c>
      <c r="T140" s="120">
        <v>11</v>
      </c>
      <c r="U140" s="133">
        <v>11</v>
      </c>
    </row>
    <row r="141" spans="2:21" ht="15" customHeight="1">
      <c r="B141" s="97" t="s">
        <v>220</v>
      </c>
      <c r="C141" s="20">
        <v>1</v>
      </c>
      <c r="D141" s="20" t="s">
        <v>52</v>
      </c>
      <c r="E141" s="22">
        <v>122</v>
      </c>
      <c r="F141" s="127">
        <v>14</v>
      </c>
      <c r="G141" s="133">
        <v>21</v>
      </c>
      <c r="H141" s="132">
        <v>6</v>
      </c>
      <c r="I141" s="120">
        <v>13</v>
      </c>
      <c r="J141" s="120"/>
      <c r="K141" s="120"/>
      <c r="L141" s="121">
        <f t="shared" si="10"/>
        <v>6</v>
      </c>
      <c r="M141" s="134">
        <f t="shared" si="9"/>
        <v>13</v>
      </c>
      <c r="N141" s="132">
        <v>7</v>
      </c>
      <c r="O141" s="120"/>
      <c r="P141" s="120">
        <v>2</v>
      </c>
      <c r="Q141" s="133">
        <v>9</v>
      </c>
      <c r="R141" s="132"/>
      <c r="S141" s="120"/>
      <c r="T141" s="120">
        <v>5</v>
      </c>
      <c r="U141" s="133">
        <v>5</v>
      </c>
    </row>
    <row r="142" spans="2:21" ht="15" customHeight="1">
      <c r="B142" s="97" t="s">
        <v>221</v>
      </c>
      <c r="C142" s="20">
        <v>1</v>
      </c>
      <c r="D142" s="20" t="s">
        <v>47</v>
      </c>
      <c r="E142" s="22">
        <v>123</v>
      </c>
      <c r="F142" s="127">
        <v>7</v>
      </c>
      <c r="G142" s="133">
        <v>13</v>
      </c>
      <c r="H142" s="132">
        <v>4</v>
      </c>
      <c r="I142" s="120">
        <v>6</v>
      </c>
      <c r="J142" s="120"/>
      <c r="K142" s="120"/>
      <c r="L142" s="121">
        <f t="shared" si="10"/>
        <v>4</v>
      </c>
      <c r="M142" s="134">
        <f t="shared" si="9"/>
        <v>6</v>
      </c>
      <c r="N142" s="132"/>
      <c r="O142" s="120"/>
      <c r="P142" s="120">
        <v>2</v>
      </c>
      <c r="Q142" s="133">
        <v>2</v>
      </c>
      <c r="R142" s="132"/>
      <c r="S142" s="120"/>
      <c r="T142" s="120">
        <v>1</v>
      </c>
      <c r="U142" s="133">
        <v>1</v>
      </c>
    </row>
    <row r="143" spans="2:21" ht="15" customHeight="1">
      <c r="B143" s="97" t="s">
        <v>222</v>
      </c>
      <c r="C143" s="20"/>
      <c r="D143" s="20"/>
      <c r="E143" s="21">
        <v>124</v>
      </c>
      <c r="F143" s="127">
        <v>219</v>
      </c>
      <c r="G143" s="133">
        <v>378</v>
      </c>
      <c r="H143" s="132">
        <v>36</v>
      </c>
      <c r="I143" s="120">
        <v>76</v>
      </c>
      <c r="J143" s="120">
        <v>6</v>
      </c>
      <c r="K143" s="120">
        <v>20</v>
      </c>
      <c r="L143" s="121">
        <f t="shared" si="10"/>
        <v>42</v>
      </c>
      <c r="M143" s="134">
        <f t="shared" si="9"/>
        <v>96</v>
      </c>
      <c r="N143" s="132">
        <v>5</v>
      </c>
      <c r="O143" s="120"/>
      <c r="P143" s="120">
        <v>33</v>
      </c>
      <c r="Q143" s="133">
        <v>38</v>
      </c>
      <c r="R143" s="132">
        <v>10</v>
      </c>
      <c r="S143" s="120">
        <v>10</v>
      </c>
      <c r="T143" s="120">
        <v>64</v>
      </c>
      <c r="U143" s="133">
        <v>64</v>
      </c>
    </row>
    <row r="144" spans="2:21" ht="15" customHeight="1">
      <c r="B144" s="97" t="s">
        <v>223</v>
      </c>
      <c r="C144" s="20">
        <v>1</v>
      </c>
      <c r="D144" s="20" t="s">
        <v>52</v>
      </c>
      <c r="E144" s="22">
        <v>125</v>
      </c>
      <c r="F144" s="127">
        <v>55</v>
      </c>
      <c r="G144" s="133">
        <v>66</v>
      </c>
      <c r="H144" s="132">
        <v>3</v>
      </c>
      <c r="I144" s="120">
        <v>3</v>
      </c>
      <c r="J144" s="120"/>
      <c r="K144" s="120"/>
      <c r="L144" s="121">
        <f t="shared" si="10"/>
        <v>3</v>
      </c>
      <c r="M144" s="134">
        <f t="shared" si="9"/>
        <v>3</v>
      </c>
      <c r="N144" s="132"/>
      <c r="O144" s="120"/>
      <c r="P144" s="120"/>
      <c r="Q144" s="133"/>
      <c r="R144" s="132"/>
      <c r="S144" s="120"/>
      <c r="T144" s="120">
        <v>56</v>
      </c>
      <c r="U144" s="133">
        <v>56</v>
      </c>
    </row>
    <row r="145" spans="2:21" ht="15" customHeight="1">
      <c r="B145" s="97" t="s">
        <v>224</v>
      </c>
      <c r="C145" s="20"/>
      <c r="D145" s="20"/>
      <c r="E145" s="22">
        <v>126</v>
      </c>
      <c r="F145" s="127">
        <v>318</v>
      </c>
      <c r="G145" s="133">
        <v>534</v>
      </c>
      <c r="H145" s="132">
        <v>58</v>
      </c>
      <c r="I145" s="120">
        <v>121</v>
      </c>
      <c r="J145" s="120">
        <v>5</v>
      </c>
      <c r="K145" s="120">
        <v>16</v>
      </c>
      <c r="L145" s="121">
        <f t="shared" si="10"/>
        <v>63</v>
      </c>
      <c r="M145" s="134">
        <f t="shared" si="9"/>
        <v>137</v>
      </c>
      <c r="N145" s="132">
        <v>35</v>
      </c>
      <c r="O145" s="120"/>
      <c r="P145" s="120">
        <v>49</v>
      </c>
      <c r="Q145" s="133">
        <v>84</v>
      </c>
      <c r="R145" s="132">
        <v>25</v>
      </c>
      <c r="S145" s="120">
        <v>25</v>
      </c>
      <c r="T145" s="120">
        <v>118</v>
      </c>
      <c r="U145" s="133">
        <v>118</v>
      </c>
    </row>
    <row r="146" spans="2:21" ht="15" customHeight="1">
      <c r="B146" s="97" t="s">
        <v>225</v>
      </c>
      <c r="C146" s="20">
        <v>1</v>
      </c>
      <c r="D146" s="20" t="s">
        <v>52</v>
      </c>
      <c r="E146" s="21">
        <v>127</v>
      </c>
      <c r="F146" s="127">
        <v>7</v>
      </c>
      <c r="G146" s="133">
        <v>12</v>
      </c>
      <c r="H146" s="132">
        <v>3</v>
      </c>
      <c r="I146" s="120">
        <v>6</v>
      </c>
      <c r="J146" s="120"/>
      <c r="K146" s="120">
        <v>1</v>
      </c>
      <c r="L146" s="121">
        <f t="shared" si="10"/>
        <v>3</v>
      </c>
      <c r="M146" s="134">
        <f t="shared" si="9"/>
        <v>7</v>
      </c>
      <c r="N146" s="132"/>
      <c r="O146" s="120"/>
      <c r="P146" s="120"/>
      <c r="Q146" s="133"/>
      <c r="R146" s="132"/>
      <c r="S146" s="120"/>
      <c r="T146" s="120">
        <v>2</v>
      </c>
      <c r="U146" s="133">
        <v>2</v>
      </c>
    </row>
    <row r="147" spans="2:21" ht="15" customHeight="1">
      <c r="B147" s="97" t="s">
        <v>226</v>
      </c>
      <c r="C147" s="20"/>
      <c r="D147" s="20"/>
      <c r="E147" s="22">
        <v>128</v>
      </c>
      <c r="F147" s="127">
        <v>63</v>
      </c>
      <c r="G147" s="133">
        <v>87</v>
      </c>
      <c r="H147" s="132">
        <v>12</v>
      </c>
      <c r="I147" s="120">
        <v>18</v>
      </c>
      <c r="J147" s="120">
        <v>1</v>
      </c>
      <c r="K147" s="120">
        <v>5</v>
      </c>
      <c r="L147" s="121">
        <f t="shared" si="10"/>
        <v>13</v>
      </c>
      <c r="M147" s="134">
        <f t="shared" si="9"/>
        <v>23</v>
      </c>
      <c r="N147" s="132">
        <v>9</v>
      </c>
      <c r="O147" s="120"/>
      <c r="P147" s="120">
        <v>17</v>
      </c>
      <c r="Q147" s="133">
        <v>26</v>
      </c>
      <c r="R147" s="132">
        <v>3</v>
      </c>
      <c r="S147" s="120">
        <v>3</v>
      </c>
      <c r="T147" s="120">
        <v>32</v>
      </c>
      <c r="U147" s="133">
        <v>32</v>
      </c>
    </row>
    <row r="148" spans="2:21" ht="15" customHeight="1">
      <c r="B148" s="97" t="s">
        <v>227</v>
      </c>
      <c r="C148" s="20"/>
      <c r="D148" s="20"/>
      <c r="E148" s="22">
        <v>129</v>
      </c>
      <c r="F148" s="127">
        <v>49</v>
      </c>
      <c r="G148" s="133">
        <v>82</v>
      </c>
      <c r="H148" s="132">
        <v>12</v>
      </c>
      <c r="I148" s="120">
        <v>25</v>
      </c>
      <c r="J148" s="120"/>
      <c r="K148" s="120"/>
      <c r="L148" s="121">
        <f t="shared" si="10"/>
        <v>12</v>
      </c>
      <c r="M148" s="134">
        <f t="shared" si="9"/>
        <v>25</v>
      </c>
      <c r="N148" s="132">
        <v>3</v>
      </c>
      <c r="O148" s="120">
        <v>1</v>
      </c>
      <c r="P148" s="120">
        <v>7</v>
      </c>
      <c r="Q148" s="133">
        <v>11</v>
      </c>
      <c r="R148" s="132">
        <v>4</v>
      </c>
      <c r="S148" s="120">
        <v>4</v>
      </c>
      <c r="T148" s="120">
        <v>22</v>
      </c>
      <c r="U148" s="133">
        <v>22</v>
      </c>
    </row>
    <row r="149" spans="2:21" ht="15" customHeight="1">
      <c r="B149" s="97" t="s">
        <v>228</v>
      </c>
      <c r="C149" s="20"/>
      <c r="D149" s="20"/>
      <c r="E149" s="22">
        <v>132</v>
      </c>
      <c r="F149" s="127">
        <v>120</v>
      </c>
      <c r="G149" s="133">
        <v>173</v>
      </c>
      <c r="H149" s="132">
        <v>18</v>
      </c>
      <c r="I149" s="120">
        <v>33</v>
      </c>
      <c r="J149" s="120">
        <v>1</v>
      </c>
      <c r="K149" s="120">
        <v>2</v>
      </c>
      <c r="L149" s="121">
        <f t="shared" si="10"/>
        <v>19</v>
      </c>
      <c r="M149" s="134">
        <f t="shared" si="9"/>
        <v>35</v>
      </c>
      <c r="N149" s="132">
        <v>18</v>
      </c>
      <c r="O149" s="120">
        <v>1</v>
      </c>
      <c r="P149" s="120">
        <v>26</v>
      </c>
      <c r="Q149" s="133">
        <v>45</v>
      </c>
      <c r="R149" s="132">
        <v>12</v>
      </c>
      <c r="S149" s="120">
        <v>12</v>
      </c>
      <c r="T149" s="120">
        <v>57</v>
      </c>
      <c r="U149" s="133">
        <v>57</v>
      </c>
    </row>
    <row r="150" spans="2:21" ht="15" customHeight="1">
      <c r="B150" s="97" t="s">
        <v>229</v>
      </c>
      <c r="C150" s="20"/>
      <c r="D150" s="20"/>
      <c r="E150" s="21">
        <v>130</v>
      </c>
      <c r="F150" s="127">
        <v>52</v>
      </c>
      <c r="G150" s="133">
        <v>85</v>
      </c>
      <c r="H150" s="132">
        <v>12</v>
      </c>
      <c r="I150" s="120">
        <v>22</v>
      </c>
      <c r="J150" s="120"/>
      <c r="K150" s="120">
        <v>1</v>
      </c>
      <c r="L150" s="121">
        <f t="shared" si="10"/>
        <v>12</v>
      </c>
      <c r="M150" s="134">
        <f t="shared" si="9"/>
        <v>23</v>
      </c>
      <c r="N150" s="132">
        <v>14</v>
      </c>
      <c r="O150" s="120"/>
      <c r="P150" s="120">
        <v>31</v>
      </c>
      <c r="Q150" s="133">
        <v>45</v>
      </c>
      <c r="R150" s="132">
        <v>1</v>
      </c>
      <c r="S150" s="120">
        <v>1</v>
      </c>
      <c r="T150" s="120">
        <v>26</v>
      </c>
      <c r="U150" s="133">
        <v>26</v>
      </c>
    </row>
    <row r="151" spans="2:21" ht="15" customHeight="1">
      <c r="B151" s="97" t="s">
        <v>230</v>
      </c>
      <c r="C151" s="20"/>
      <c r="D151" s="20"/>
      <c r="E151" s="22">
        <v>131</v>
      </c>
      <c r="F151" s="127">
        <v>385</v>
      </c>
      <c r="G151" s="133">
        <v>684</v>
      </c>
      <c r="H151" s="132">
        <v>67</v>
      </c>
      <c r="I151" s="120">
        <v>117</v>
      </c>
      <c r="J151" s="120">
        <v>5</v>
      </c>
      <c r="K151" s="120">
        <v>19</v>
      </c>
      <c r="L151" s="121">
        <f t="shared" si="10"/>
        <v>72</v>
      </c>
      <c r="M151" s="134">
        <f t="shared" si="9"/>
        <v>136</v>
      </c>
      <c r="N151" s="132">
        <v>14</v>
      </c>
      <c r="O151" s="120"/>
      <c r="P151" s="120">
        <v>46</v>
      </c>
      <c r="Q151" s="133">
        <v>61</v>
      </c>
      <c r="R151" s="132">
        <v>15</v>
      </c>
      <c r="S151" s="120">
        <v>15</v>
      </c>
      <c r="T151" s="120">
        <v>125</v>
      </c>
      <c r="U151" s="133">
        <v>125</v>
      </c>
    </row>
    <row r="152" spans="2:21" ht="15" customHeight="1">
      <c r="B152" s="97" t="s">
        <v>231</v>
      </c>
      <c r="C152" s="20">
        <v>1</v>
      </c>
      <c r="D152" s="20" t="s">
        <v>47</v>
      </c>
      <c r="E152" s="21">
        <v>133</v>
      </c>
      <c r="F152" s="127">
        <v>65</v>
      </c>
      <c r="G152" s="133">
        <v>148</v>
      </c>
      <c r="H152" s="132">
        <v>15</v>
      </c>
      <c r="I152" s="120">
        <v>29</v>
      </c>
      <c r="J152" s="120"/>
      <c r="K152" s="120">
        <v>2</v>
      </c>
      <c r="L152" s="121">
        <f t="shared" si="10"/>
        <v>15</v>
      </c>
      <c r="M152" s="134">
        <f t="shared" si="9"/>
        <v>31</v>
      </c>
      <c r="N152" s="132">
        <v>3</v>
      </c>
      <c r="O152" s="120"/>
      <c r="P152" s="120">
        <v>11</v>
      </c>
      <c r="Q152" s="133">
        <v>14</v>
      </c>
      <c r="R152" s="132">
        <v>2</v>
      </c>
      <c r="S152" s="120">
        <v>2</v>
      </c>
      <c r="T152" s="120">
        <v>24</v>
      </c>
      <c r="U152" s="133">
        <v>24</v>
      </c>
    </row>
    <row r="153" spans="2:21" ht="15" customHeight="1">
      <c r="B153" s="97" t="s">
        <v>232</v>
      </c>
      <c r="C153" s="20"/>
      <c r="D153" s="20"/>
      <c r="E153" s="22">
        <v>134</v>
      </c>
      <c r="F153" s="127">
        <v>162</v>
      </c>
      <c r="G153" s="133">
        <v>284</v>
      </c>
      <c r="H153" s="132">
        <v>38</v>
      </c>
      <c r="I153" s="120">
        <v>73</v>
      </c>
      <c r="J153" s="120">
        <v>5</v>
      </c>
      <c r="K153" s="120">
        <v>19</v>
      </c>
      <c r="L153" s="121">
        <f t="shared" si="10"/>
        <v>43</v>
      </c>
      <c r="M153" s="134">
        <f t="shared" si="9"/>
        <v>92</v>
      </c>
      <c r="N153" s="132">
        <v>3</v>
      </c>
      <c r="O153" s="120"/>
      <c r="P153" s="120">
        <v>20</v>
      </c>
      <c r="Q153" s="133">
        <v>23</v>
      </c>
      <c r="R153" s="132">
        <v>7</v>
      </c>
      <c r="S153" s="120">
        <v>7</v>
      </c>
      <c r="T153" s="120">
        <v>45</v>
      </c>
      <c r="U153" s="133">
        <v>45</v>
      </c>
    </row>
    <row r="154" spans="2:21" ht="15" customHeight="1">
      <c r="B154" s="97" t="s">
        <v>233</v>
      </c>
      <c r="C154" s="20" t="s">
        <v>63</v>
      </c>
      <c r="D154" s="20"/>
      <c r="E154" s="22">
        <v>135</v>
      </c>
      <c r="F154" s="127">
        <v>2188</v>
      </c>
      <c r="G154" s="133">
        <v>3621</v>
      </c>
      <c r="H154" s="132">
        <v>329</v>
      </c>
      <c r="I154" s="120">
        <v>625</v>
      </c>
      <c r="J154" s="120">
        <v>13</v>
      </c>
      <c r="K154" s="120">
        <v>38</v>
      </c>
      <c r="L154" s="121">
        <f t="shared" si="10"/>
        <v>342</v>
      </c>
      <c r="M154" s="134">
        <f t="shared" si="9"/>
        <v>663</v>
      </c>
      <c r="N154" s="132">
        <v>306</v>
      </c>
      <c r="O154" s="120"/>
      <c r="P154" s="120">
        <v>205</v>
      </c>
      <c r="Q154" s="133">
        <v>512</v>
      </c>
      <c r="R154" s="132">
        <v>104</v>
      </c>
      <c r="S154" s="120">
        <v>104</v>
      </c>
      <c r="T154" s="120">
        <v>707</v>
      </c>
      <c r="U154" s="133">
        <v>707</v>
      </c>
    </row>
    <row r="155" spans="2:21" ht="15" customHeight="1">
      <c r="B155" s="97" t="s">
        <v>234</v>
      </c>
      <c r="C155" s="20">
        <v>1</v>
      </c>
      <c r="D155" s="20" t="s">
        <v>47</v>
      </c>
      <c r="E155" s="21">
        <v>136</v>
      </c>
      <c r="F155" s="127">
        <v>48</v>
      </c>
      <c r="G155" s="133">
        <v>89</v>
      </c>
      <c r="H155" s="132">
        <v>11</v>
      </c>
      <c r="I155" s="120">
        <v>19</v>
      </c>
      <c r="J155" s="120"/>
      <c r="K155" s="120">
        <v>1</v>
      </c>
      <c r="L155" s="121">
        <f t="shared" si="10"/>
        <v>11</v>
      </c>
      <c r="M155" s="134">
        <f t="shared" si="9"/>
        <v>20</v>
      </c>
      <c r="N155" s="132"/>
      <c r="O155" s="120"/>
      <c r="P155" s="120">
        <v>9</v>
      </c>
      <c r="Q155" s="133">
        <v>9</v>
      </c>
      <c r="R155" s="132">
        <v>1</v>
      </c>
      <c r="S155" s="120">
        <v>1</v>
      </c>
      <c r="T155" s="120">
        <v>15</v>
      </c>
      <c r="U155" s="133">
        <v>15</v>
      </c>
    </row>
    <row r="156" spans="2:21" ht="15" customHeight="1">
      <c r="B156" s="97" t="s">
        <v>235</v>
      </c>
      <c r="C156" s="20"/>
      <c r="D156" s="20"/>
      <c r="E156" s="22">
        <v>137</v>
      </c>
      <c r="F156" s="127">
        <v>270</v>
      </c>
      <c r="G156" s="133">
        <v>482</v>
      </c>
      <c r="H156" s="132">
        <v>50</v>
      </c>
      <c r="I156" s="120">
        <v>109</v>
      </c>
      <c r="J156" s="120">
        <v>3</v>
      </c>
      <c r="K156" s="120">
        <v>12</v>
      </c>
      <c r="L156" s="121">
        <f t="shared" si="10"/>
        <v>53</v>
      </c>
      <c r="M156" s="134">
        <f t="shared" si="9"/>
        <v>121</v>
      </c>
      <c r="N156" s="132">
        <v>5</v>
      </c>
      <c r="O156" s="120"/>
      <c r="P156" s="120">
        <v>74</v>
      </c>
      <c r="Q156" s="133">
        <v>79</v>
      </c>
      <c r="R156" s="132">
        <v>12</v>
      </c>
      <c r="S156" s="120">
        <v>12</v>
      </c>
      <c r="T156" s="120">
        <v>72</v>
      </c>
      <c r="U156" s="133">
        <v>72</v>
      </c>
    </row>
    <row r="157" spans="2:21" ht="15" customHeight="1">
      <c r="B157" s="97" t="s">
        <v>0</v>
      </c>
      <c r="C157" s="20"/>
      <c r="D157" s="20"/>
      <c r="E157" s="22">
        <v>138</v>
      </c>
      <c r="F157" s="127">
        <v>773</v>
      </c>
      <c r="G157" s="133">
        <v>1471</v>
      </c>
      <c r="H157" s="132">
        <v>185</v>
      </c>
      <c r="I157" s="120">
        <v>357</v>
      </c>
      <c r="J157" s="120">
        <v>7</v>
      </c>
      <c r="K157" s="120">
        <v>25</v>
      </c>
      <c r="L157" s="121">
        <f t="shared" si="10"/>
        <v>192</v>
      </c>
      <c r="M157" s="134">
        <f t="shared" si="9"/>
        <v>382</v>
      </c>
      <c r="N157" s="132">
        <v>37</v>
      </c>
      <c r="O157" s="120"/>
      <c r="P157" s="120">
        <v>78</v>
      </c>
      <c r="Q157" s="133">
        <v>115</v>
      </c>
      <c r="R157" s="132">
        <v>23</v>
      </c>
      <c r="S157" s="120">
        <v>23</v>
      </c>
      <c r="T157" s="120">
        <v>271</v>
      </c>
      <c r="U157" s="133">
        <v>271</v>
      </c>
    </row>
    <row r="158" spans="2:21" ht="15" customHeight="1">
      <c r="B158" s="97" t="s">
        <v>1</v>
      </c>
      <c r="C158" s="20"/>
      <c r="D158" s="20"/>
      <c r="E158" s="21">
        <v>139</v>
      </c>
      <c r="F158" s="127">
        <v>60</v>
      </c>
      <c r="G158" s="133">
        <v>97</v>
      </c>
      <c r="H158" s="132">
        <v>8</v>
      </c>
      <c r="I158" s="120">
        <v>11</v>
      </c>
      <c r="J158" s="120">
        <v>1</v>
      </c>
      <c r="K158" s="120">
        <v>4</v>
      </c>
      <c r="L158" s="121">
        <f t="shared" si="10"/>
        <v>9</v>
      </c>
      <c r="M158" s="134">
        <f t="shared" si="9"/>
        <v>15</v>
      </c>
      <c r="N158" s="132">
        <v>7</v>
      </c>
      <c r="O158" s="120"/>
      <c r="P158" s="120">
        <v>15</v>
      </c>
      <c r="Q158" s="133">
        <v>23</v>
      </c>
      <c r="R158" s="132">
        <v>1</v>
      </c>
      <c r="S158" s="120">
        <v>1</v>
      </c>
      <c r="T158" s="120">
        <v>22</v>
      </c>
      <c r="U158" s="133">
        <v>22</v>
      </c>
    </row>
    <row r="159" spans="2:21" ht="15" customHeight="1">
      <c r="B159" s="97" t="s">
        <v>2</v>
      </c>
      <c r="C159" s="20">
        <v>1</v>
      </c>
      <c r="D159" s="20" t="s">
        <v>52</v>
      </c>
      <c r="E159" s="22">
        <v>140</v>
      </c>
      <c r="F159" s="127">
        <v>84</v>
      </c>
      <c r="G159" s="133">
        <v>127</v>
      </c>
      <c r="H159" s="132">
        <v>13</v>
      </c>
      <c r="I159" s="120">
        <v>22</v>
      </c>
      <c r="J159" s="120">
        <v>1</v>
      </c>
      <c r="K159" s="120">
        <v>3</v>
      </c>
      <c r="L159" s="121">
        <f t="shared" si="10"/>
        <v>14</v>
      </c>
      <c r="M159" s="134">
        <f t="shared" si="9"/>
        <v>25</v>
      </c>
      <c r="N159" s="132">
        <v>2</v>
      </c>
      <c r="O159" s="120">
        <v>1</v>
      </c>
      <c r="P159" s="120">
        <v>13</v>
      </c>
      <c r="Q159" s="133">
        <v>16</v>
      </c>
      <c r="R159" s="132">
        <v>4</v>
      </c>
      <c r="S159" s="120">
        <v>4</v>
      </c>
      <c r="T159" s="120">
        <v>31</v>
      </c>
      <c r="U159" s="133">
        <v>31</v>
      </c>
    </row>
    <row r="160" spans="2:21" ht="15" customHeight="1">
      <c r="B160" s="97" t="s">
        <v>3</v>
      </c>
      <c r="C160" s="20">
        <v>1</v>
      </c>
      <c r="D160" s="20" t="s">
        <v>47</v>
      </c>
      <c r="E160" s="22">
        <v>141</v>
      </c>
      <c r="F160" s="127">
        <v>152</v>
      </c>
      <c r="G160" s="133">
        <v>283</v>
      </c>
      <c r="H160" s="132">
        <v>29</v>
      </c>
      <c r="I160" s="120">
        <v>53</v>
      </c>
      <c r="J160" s="120">
        <v>2</v>
      </c>
      <c r="K160" s="120">
        <v>7</v>
      </c>
      <c r="L160" s="121">
        <f t="shared" si="10"/>
        <v>31</v>
      </c>
      <c r="M160" s="134">
        <f t="shared" si="9"/>
        <v>60</v>
      </c>
      <c r="N160" s="132">
        <v>1</v>
      </c>
      <c r="O160" s="120">
        <v>1</v>
      </c>
      <c r="P160" s="120">
        <v>20</v>
      </c>
      <c r="Q160" s="133">
        <v>23</v>
      </c>
      <c r="R160" s="132">
        <v>7</v>
      </c>
      <c r="S160" s="120">
        <v>7</v>
      </c>
      <c r="T160" s="120">
        <v>47</v>
      </c>
      <c r="U160" s="133">
        <v>47</v>
      </c>
    </row>
    <row r="161" spans="2:21" ht="15" customHeight="1">
      <c r="B161" s="97" t="s">
        <v>4</v>
      </c>
      <c r="C161" s="20"/>
      <c r="D161" s="20"/>
      <c r="E161" s="21">
        <v>142</v>
      </c>
      <c r="F161" s="127">
        <v>46</v>
      </c>
      <c r="G161" s="133">
        <v>73</v>
      </c>
      <c r="H161" s="132">
        <v>9</v>
      </c>
      <c r="I161" s="120">
        <v>15</v>
      </c>
      <c r="J161" s="120"/>
      <c r="K161" s="120">
        <v>1</v>
      </c>
      <c r="L161" s="121">
        <f t="shared" si="10"/>
        <v>9</v>
      </c>
      <c r="M161" s="134">
        <f t="shared" si="9"/>
        <v>16</v>
      </c>
      <c r="N161" s="132">
        <v>4</v>
      </c>
      <c r="O161" s="120"/>
      <c r="P161" s="120">
        <v>15</v>
      </c>
      <c r="Q161" s="133">
        <v>19</v>
      </c>
      <c r="R161" s="132">
        <v>2</v>
      </c>
      <c r="S161" s="120">
        <v>2</v>
      </c>
      <c r="T161" s="120">
        <v>16</v>
      </c>
      <c r="U161" s="133">
        <v>16</v>
      </c>
    </row>
    <row r="162" spans="2:21" ht="15" customHeight="1">
      <c r="B162" s="97" t="s">
        <v>5</v>
      </c>
      <c r="C162" s="20"/>
      <c r="D162" s="20"/>
      <c r="E162" s="22">
        <v>143</v>
      </c>
      <c r="F162" s="127">
        <v>1110</v>
      </c>
      <c r="G162" s="133">
        <v>1927</v>
      </c>
      <c r="H162" s="132">
        <v>167</v>
      </c>
      <c r="I162" s="120">
        <v>359</v>
      </c>
      <c r="J162" s="120">
        <v>18</v>
      </c>
      <c r="K162" s="120">
        <v>71</v>
      </c>
      <c r="L162" s="121">
        <f t="shared" si="10"/>
        <v>185</v>
      </c>
      <c r="M162" s="134">
        <f t="shared" si="9"/>
        <v>430</v>
      </c>
      <c r="N162" s="132">
        <v>34</v>
      </c>
      <c r="O162" s="120">
        <v>2</v>
      </c>
      <c r="P162" s="120">
        <v>219</v>
      </c>
      <c r="Q162" s="133">
        <v>256</v>
      </c>
      <c r="R162" s="132">
        <v>43</v>
      </c>
      <c r="S162" s="120">
        <v>43</v>
      </c>
      <c r="T162" s="120">
        <v>364</v>
      </c>
      <c r="U162" s="133">
        <v>364</v>
      </c>
    </row>
    <row r="163" spans="2:21" ht="15" customHeight="1">
      <c r="B163" s="97" t="s">
        <v>6</v>
      </c>
      <c r="C163" s="20"/>
      <c r="D163" s="20"/>
      <c r="E163" s="22">
        <v>144</v>
      </c>
      <c r="F163" s="127">
        <v>150</v>
      </c>
      <c r="G163" s="133">
        <v>223</v>
      </c>
      <c r="H163" s="132">
        <v>26</v>
      </c>
      <c r="I163" s="120">
        <v>46</v>
      </c>
      <c r="J163" s="120">
        <v>1</v>
      </c>
      <c r="K163" s="120">
        <v>5</v>
      </c>
      <c r="L163" s="121">
        <f t="shared" si="10"/>
        <v>27</v>
      </c>
      <c r="M163" s="134">
        <f t="shared" si="9"/>
        <v>51</v>
      </c>
      <c r="N163" s="132">
        <v>35</v>
      </c>
      <c r="O163" s="120"/>
      <c r="P163" s="120">
        <v>56</v>
      </c>
      <c r="Q163" s="133">
        <v>92</v>
      </c>
      <c r="R163" s="132">
        <v>7</v>
      </c>
      <c r="S163" s="120">
        <v>7</v>
      </c>
      <c r="T163" s="120">
        <v>60</v>
      </c>
      <c r="U163" s="133">
        <v>60</v>
      </c>
    </row>
    <row r="164" spans="2:21" ht="15" customHeight="1">
      <c r="B164" s="97" t="s">
        <v>7</v>
      </c>
      <c r="C164" s="20">
        <v>1</v>
      </c>
      <c r="D164" s="20" t="s">
        <v>47</v>
      </c>
      <c r="E164" s="21">
        <v>145</v>
      </c>
      <c r="F164" s="127">
        <v>2</v>
      </c>
      <c r="G164" s="133">
        <v>3</v>
      </c>
      <c r="H164" s="132"/>
      <c r="I164" s="120"/>
      <c r="J164" s="120"/>
      <c r="K164" s="120"/>
      <c r="L164" s="121">
        <f t="shared" si="10"/>
        <v>0</v>
      </c>
      <c r="M164" s="134">
        <f t="shared" si="9"/>
        <v>0</v>
      </c>
      <c r="N164" s="132">
        <v>1</v>
      </c>
      <c r="O164" s="120"/>
      <c r="P164" s="120"/>
      <c r="Q164" s="133">
        <v>1</v>
      </c>
      <c r="R164" s="132"/>
      <c r="S164" s="120"/>
      <c r="T164" s="120"/>
      <c r="U164" s="133"/>
    </row>
    <row r="165" spans="2:21" ht="15" customHeight="1">
      <c r="B165" s="97" t="s">
        <v>8</v>
      </c>
      <c r="C165" s="20"/>
      <c r="D165" s="20"/>
      <c r="E165" s="22">
        <v>146</v>
      </c>
      <c r="F165" s="127">
        <v>700</v>
      </c>
      <c r="G165" s="133">
        <v>1337</v>
      </c>
      <c r="H165" s="132">
        <v>162</v>
      </c>
      <c r="I165" s="120">
        <v>331</v>
      </c>
      <c r="J165" s="120">
        <v>6</v>
      </c>
      <c r="K165" s="120">
        <v>25</v>
      </c>
      <c r="L165" s="121">
        <f t="shared" si="10"/>
        <v>168</v>
      </c>
      <c r="M165" s="134">
        <f t="shared" si="9"/>
        <v>356</v>
      </c>
      <c r="N165" s="132">
        <v>28</v>
      </c>
      <c r="O165" s="120">
        <v>5</v>
      </c>
      <c r="P165" s="120">
        <v>148</v>
      </c>
      <c r="Q165" s="133">
        <v>182</v>
      </c>
      <c r="R165" s="132">
        <v>34</v>
      </c>
      <c r="S165" s="120">
        <v>34</v>
      </c>
      <c r="T165" s="120">
        <v>165</v>
      </c>
      <c r="U165" s="133">
        <v>165</v>
      </c>
    </row>
    <row r="166" spans="2:21" ht="15" customHeight="1">
      <c r="B166" s="97" t="s">
        <v>9</v>
      </c>
      <c r="C166" s="20">
        <v>1</v>
      </c>
      <c r="D166" s="20" t="s">
        <v>47</v>
      </c>
      <c r="E166" s="22">
        <v>147</v>
      </c>
      <c r="F166" s="127">
        <v>37</v>
      </c>
      <c r="G166" s="133">
        <v>61</v>
      </c>
      <c r="H166" s="132">
        <v>7</v>
      </c>
      <c r="I166" s="120">
        <v>10</v>
      </c>
      <c r="J166" s="120"/>
      <c r="K166" s="120"/>
      <c r="L166" s="121">
        <f t="shared" si="10"/>
        <v>7</v>
      </c>
      <c r="M166" s="134">
        <f t="shared" si="9"/>
        <v>10</v>
      </c>
      <c r="N166" s="132">
        <v>1</v>
      </c>
      <c r="O166" s="120"/>
      <c r="P166" s="120">
        <v>3</v>
      </c>
      <c r="Q166" s="133">
        <v>5</v>
      </c>
      <c r="R166" s="132">
        <v>2</v>
      </c>
      <c r="S166" s="120">
        <v>2</v>
      </c>
      <c r="T166" s="120">
        <v>14</v>
      </c>
      <c r="U166" s="133">
        <v>14</v>
      </c>
    </row>
    <row r="167" spans="2:21" ht="15" customHeight="1">
      <c r="B167" s="97" t="s">
        <v>10</v>
      </c>
      <c r="C167" s="20"/>
      <c r="D167" s="20"/>
      <c r="E167" s="21">
        <v>148</v>
      </c>
      <c r="F167" s="127">
        <v>418</v>
      </c>
      <c r="G167" s="133">
        <v>690</v>
      </c>
      <c r="H167" s="132">
        <v>74</v>
      </c>
      <c r="I167" s="120">
        <v>144</v>
      </c>
      <c r="J167" s="120">
        <v>4</v>
      </c>
      <c r="K167" s="120">
        <v>15</v>
      </c>
      <c r="L167" s="121">
        <f t="shared" si="10"/>
        <v>78</v>
      </c>
      <c r="M167" s="134">
        <f t="shared" si="9"/>
        <v>159</v>
      </c>
      <c r="N167" s="132">
        <v>85</v>
      </c>
      <c r="O167" s="120">
        <v>2</v>
      </c>
      <c r="P167" s="120">
        <v>87</v>
      </c>
      <c r="Q167" s="133">
        <v>175</v>
      </c>
      <c r="R167" s="132">
        <v>21</v>
      </c>
      <c r="S167" s="120">
        <v>21</v>
      </c>
      <c r="T167" s="120">
        <v>155</v>
      </c>
      <c r="U167" s="133">
        <v>155</v>
      </c>
    </row>
    <row r="168" spans="2:21" ht="15" customHeight="1">
      <c r="B168" s="97" t="s">
        <v>11</v>
      </c>
      <c r="C168" s="20">
        <v>1</v>
      </c>
      <c r="D168" s="20" t="s">
        <v>52</v>
      </c>
      <c r="E168" s="22">
        <v>149</v>
      </c>
      <c r="F168" s="127">
        <v>2</v>
      </c>
      <c r="G168" s="133">
        <v>3</v>
      </c>
      <c r="H168" s="132">
        <v>1</v>
      </c>
      <c r="I168" s="120">
        <v>1</v>
      </c>
      <c r="J168" s="120"/>
      <c r="K168" s="120"/>
      <c r="L168" s="121">
        <f t="shared" si="10"/>
        <v>1</v>
      </c>
      <c r="M168" s="134">
        <f aca="true" t="shared" si="11" ref="M168:M189">SUM(I168,K168)</f>
        <v>1</v>
      </c>
      <c r="N168" s="132"/>
      <c r="O168" s="120"/>
      <c r="P168" s="120"/>
      <c r="Q168" s="133"/>
      <c r="R168" s="132"/>
      <c r="S168" s="120"/>
      <c r="T168" s="120">
        <v>1</v>
      </c>
      <c r="U168" s="133">
        <v>1</v>
      </c>
    </row>
    <row r="169" spans="2:21" ht="15" customHeight="1">
      <c r="B169" s="97" t="s">
        <v>12</v>
      </c>
      <c r="C169" s="20">
        <v>1</v>
      </c>
      <c r="D169" s="20" t="s">
        <v>52</v>
      </c>
      <c r="E169" s="22">
        <v>150</v>
      </c>
      <c r="F169" s="127">
        <v>15</v>
      </c>
      <c r="G169" s="133">
        <v>25</v>
      </c>
      <c r="H169" s="132">
        <v>3</v>
      </c>
      <c r="I169" s="120">
        <v>5</v>
      </c>
      <c r="J169" s="120"/>
      <c r="K169" s="120"/>
      <c r="L169" s="121">
        <f t="shared" si="10"/>
        <v>3</v>
      </c>
      <c r="M169" s="134">
        <f t="shared" si="11"/>
        <v>5</v>
      </c>
      <c r="N169" s="132">
        <v>1</v>
      </c>
      <c r="O169" s="120"/>
      <c r="P169" s="120">
        <v>2</v>
      </c>
      <c r="Q169" s="133">
        <v>4</v>
      </c>
      <c r="R169" s="132"/>
      <c r="S169" s="120"/>
      <c r="T169" s="120">
        <v>9</v>
      </c>
      <c r="U169" s="133">
        <v>9</v>
      </c>
    </row>
    <row r="170" spans="2:21" ht="15" customHeight="1">
      <c r="B170" s="97" t="s">
        <v>13</v>
      </c>
      <c r="C170" s="20" t="s">
        <v>63</v>
      </c>
      <c r="D170" s="20"/>
      <c r="E170" s="21">
        <v>151</v>
      </c>
      <c r="F170" s="127">
        <v>8504</v>
      </c>
      <c r="G170" s="133">
        <v>17781</v>
      </c>
      <c r="H170" s="132">
        <v>1844</v>
      </c>
      <c r="I170" s="120">
        <v>3992</v>
      </c>
      <c r="J170" s="120">
        <v>137</v>
      </c>
      <c r="K170" s="120">
        <v>508</v>
      </c>
      <c r="L170" s="121">
        <f t="shared" si="10"/>
        <v>1981</v>
      </c>
      <c r="M170" s="134">
        <f t="shared" si="11"/>
        <v>4500</v>
      </c>
      <c r="N170" s="132">
        <v>338</v>
      </c>
      <c r="O170" s="120">
        <v>1</v>
      </c>
      <c r="P170" s="120">
        <v>875</v>
      </c>
      <c r="Q170" s="133">
        <v>1215</v>
      </c>
      <c r="R170" s="132">
        <v>271</v>
      </c>
      <c r="S170" s="120">
        <v>271</v>
      </c>
      <c r="T170" s="120">
        <v>2169</v>
      </c>
      <c r="U170" s="133">
        <v>2169</v>
      </c>
    </row>
    <row r="171" spans="2:21" ht="15" customHeight="1">
      <c r="B171" s="97" t="s">
        <v>14</v>
      </c>
      <c r="C171" s="20"/>
      <c r="D171" s="20"/>
      <c r="E171" s="22">
        <v>152</v>
      </c>
      <c r="F171" s="127">
        <v>167</v>
      </c>
      <c r="G171" s="133">
        <v>272</v>
      </c>
      <c r="H171" s="132">
        <v>36</v>
      </c>
      <c r="I171" s="120">
        <v>67</v>
      </c>
      <c r="J171" s="120">
        <v>1</v>
      </c>
      <c r="K171" s="120">
        <v>4</v>
      </c>
      <c r="L171" s="121">
        <f t="shared" si="10"/>
        <v>37</v>
      </c>
      <c r="M171" s="134">
        <f t="shared" si="11"/>
        <v>71</v>
      </c>
      <c r="N171" s="132">
        <v>11</v>
      </c>
      <c r="O171" s="120">
        <v>1</v>
      </c>
      <c r="P171" s="120">
        <v>37</v>
      </c>
      <c r="Q171" s="133">
        <v>50</v>
      </c>
      <c r="R171" s="132">
        <v>13</v>
      </c>
      <c r="S171" s="120">
        <v>13</v>
      </c>
      <c r="T171" s="120">
        <v>60</v>
      </c>
      <c r="U171" s="133">
        <v>60</v>
      </c>
    </row>
    <row r="172" spans="2:21" ht="15" customHeight="1">
      <c r="B172" s="97" t="s">
        <v>15</v>
      </c>
      <c r="C172" s="20"/>
      <c r="D172" s="20"/>
      <c r="E172" s="22">
        <v>153</v>
      </c>
      <c r="F172" s="127">
        <v>196</v>
      </c>
      <c r="G172" s="133">
        <v>344</v>
      </c>
      <c r="H172" s="132">
        <v>39</v>
      </c>
      <c r="I172" s="120">
        <v>79</v>
      </c>
      <c r="J172" s="120">
        <v>3</v>
      </c>
      <c r="K172" s="120">
        <v>12</v>
      </c>
      <c r="L172" s="121">
        <f aca="true" t="shared" si="12" ref="L172:L189">SUM(H172,J172)</f>
        <v>42</v>
      </c>
      <c r="M172" s="134">
        <f t="shared" si="11"/>
        <v>91</v>
      </c>
      <c r="N172" s="132">
        <v>17</v>
      </c>
      <c r="O172" s="120">
        <v>1</v>
      </c>
      <c r="P172" s="120">
        <v>94</v>
      </c>
      <c r="Q172" s="133">
        <v>113</v>
      </c>
      <c r="R172" s="132">
        <v>12</v>
      </c>
      <c r="S172" s="120">
        <v>12</v>
      </c>
      <c r="T172" s="120">
        <v>81</v>
      </c>
      <c r="U172" s="133">
        <v>81</v>
      </c>
    </row>
    <row r="173" spans="2:21" ht="15" customHeight="1">
      <c r="B173" s="97" t="s">
        <v>16</v>
      </c>
      <c r="C173" s="20" t="s">
        <v>63</v>
      </c>
      <c r="D173" s="20"/>
      <c r="E173" s="22">
        <v>155</v>
      </c>
      <c r="F173" s="127">
        <v>1036</v>
      </c>
      <c r="G173" s="133">
        <v>1742</v>
      </c>
      <c r="H173" s="132">
        <v>145</v>
      </c>
      <c r="I173" s="120">
        <v>293</v>
      </c>
      <c r="J173" s="120">
        <v>13</v>
      </c>
      <c r="K173" s="120">
        <v>58</v>
      </c>
      <c r="L173" s="121">
        <f t="shared" si="12"/>
        <v>158</v>
      </c>
      <c r="M173" s="134">
        <f t="shared" si="11"/>
        <v>351</v>
      </c>
      <c r="N173" s="132">
        <v>377</v>
      </c>
      <c r="O173" s="120">
        <v>3</v>
      </c>
      <c r="P173" s="120">
        <v>203</v>
      </c>
      <c r="Q173" s="133">
        <v>585</v>
      </c>
      <c r="R173" s="132">
        <v>47</v>
      </c>
      <c r="S173" s="120">
        <v>47</v>
      </c>
      <c r="T173" s="120">
        <v>208</v>
      </c>
      <c r="U173" s="133">
        <v>209</v>
      </c>
    </row>
    <row r="174" spans="2:21" ht="15" customHeight="1">
      <c r="B174" s="97" t="s">
        <v>17</v>
      </c>
      <c r="C174" s="20" t="s">
        <v>63</v>
      </c>
      <c r="D174" s="20"/>
      <c r="E174" s="22">
        <v>156</v>
      </c>
      <c r="F174" s="127">
        <v>2077</v>
      </c>
      <c r="G174" s="133">
        <v>3858</v>
      </c>
      <c r="H174" s="132">
        <v>459</v>
      </c>
      <c r="I174" s="120">
        <v>908</v>
      </c>
      <c r="J174" s="120">
        <v>27</v>
      </c>
      <c r="K174" s="120">
        <v>87</v>
      </c>
      <c r="L174" s="121">
        <f t="shared" si="12"/>
        <v>486</v>
      </c>
      <c r="M174" s="134">
        <f t="shared" si="11"/>
        <v>995</v>
      </c>
      <c r="N174" s="132">
        <v>56</v>
      </c>
      <c r="O174" s="120"/>
      <c r="P174" s="120">
        <v>185</v>
      </c>
      <c r="Q174" s="133">
        <v>242</v>
      </c>
      <c r="R174" s="132">
        <v>75</v>
      </c>
      <c r="S174" s="120">
        <v>75</v>
      </c>
      <c r="T174" s="120">
        <v>605</v>
      </c>
      <c r="U174" s="133">
        <v>605</v>
      </c>
    </row>
    <row r="175" spans="2:21" ht="15" customHeight="1">
      <c r="B175" s="97" t="s">
        <v>18</v>
      </c>
      <c r="C175" s="20">
        <v>1</v>
      </c>
      <c r="D175" s="20" t="s">
        <v>75</v>
      </c>
      <c r="E175" s="21">
        <v>154</v>
      </c>
      <c r="F175" s="127">
        <v>74</v>
      </c>
      <c r="G175" s="133">
        <v>104</v>
      </c>
      <c r="H175" s="132">
        <v>9</v>
      </c>
      <c r="I175" s="120">
        <v>14</v>
      </c>
      <c r="J175" s="120">
        <v>1</v>
      </c>
      <c r="K175" s="120">
        <v>5</v>
      </c>
      <c r="L175" s="121">
        <f t="shared" si="12"/>
        <v>10</v>
      </c>
      <c r="M175" s="134">
        <f t="shared" si="11"/>
        <v>19</v>
      </c>
      <c r="N175" s="132">
        <v>14</v>
      </c>
      <c r="O175" s="120">
        <v>1</v>
      </c>
      <c r="P175" s="120">
        <v>20</v>
      </c>
      <c r="Q175" s="133">
        <v>35</v>
      </c>
      <c r="R175" s="132">
        <v>1</v>
      </c>
      <c r="S175" s="120">
        <v>1</v>
      </c>
      <c r="T175" s="120">
        <v>22</v>
      </c>
      <c r="U175" s="133">
        <v>22</v>
      </c>
    </row>
    <row r="176" spans="2:21" ht="15" customHeight="1">
      <c r="B176" s="97" t="s">
        <v>19</v>
      </c>
      <c r="C176" s="20"/>
      <c r="D176" s="20"/>
      <c r="E176" s="21">
        <v>157</v>
      </c>
      <c r="F176" s="127">
        <v>4</v>
      </c>
      <c r="G176" s="133">
        <v>4</v>
      </c>
      <c r="H176" s="132">
        <v>1</v>
      </c>
      <c r="I176" s="120">
        <v>1</v>
      </c>
      <c r="J176" s="120"/>
      <c r="K176" s="120"/>
      <c r="L176" s="121">
        <f t="shared" si="12"/>
        <v>1</v>
      </c>
      <c r="M176" s="134">
        <f t="shared" si="11"/>
        <v>1</v>
      </c>
      <c r="N176" s="132">
        <v>1</v>
      </c>
      <c r="O176" s="120"/>
      <c r="P176" s="120">
        <v>5</v>
      </c>
      <c r="Q176" s="133">
        <v>7</v>
      </c>
      <c r="R176" s="132">
        <v>1</v>
      </c>
      <c r="S176" s="120">
        <v>1</v>
      </c>
      <c r="T176" s="120">
        <v>4</v>
      </c>
      <c r="U176" s="133">
        <v>4</v>
      </c>
    </row>
    <row r="177" spans="2:21" ht="15" customHeight="1">
      <c r="B177" s="97" t="s">
        <v>20</v>
      </c>
      <c r="C177" s="20"/>
      <c r="D177" s="20"/>
      <c r="E177" s="22">
        <v>158</v>
      </c>
      <c r="F177" s="127">
        <v>63</v>
      </c>
      <c r="G177" s="133">
        <v>93</v>
      </c>
      <c r="H177" s="132">
        <v>8</v>
      </c>
      <c r="I177" s="120">
        <v>13</v>
      </c>
      <c r="J177" s="120"/>
      <c r="K177" s="120"/>
      <c r="L177" s="121">
        <f t="shared" si="12"/>
        <v>8</v>
      </c>
      <c r="M177" s="134">
        <f t="shared" si="11"/>
        <v>13</v>
      </c>
      <c r="N177" s="132">
        <v>6</v>
      </c>
      <c r="O177" s="120"/>
      <c r="P177" s="120">
        <v>30</v>
      </c>
      <c r="Q177" s="133">
        <v>36</v>
      </c>
      <c r="R177" s="132">
        <v>5</v>
      </c>
      <c r="S177" s="120">
        <v>5</v>
      </c>
      <c r="T177" s="120">
        <v>33</v>
      </c>
      <c r="U177" s="133">
        <v>33</v>
      </c>
    </row>
    <row r="178" spans="2:21" ht="15" customHeight="1">
      <c r="B178" s="97" t="s">
        <v>21</v>
      </c>
      <c r="C178" s="20"/>
      <c r="D178" s="20"/>
      <c r="E178" s="22">
        <v>159</v>
      </c>
      <c r="F178" s="127">
        <v>356</v>
      </c>
      <c r="G178" s="133">
        <v>540</v>
      </c>
      <c r="H178" s="132">
        <v>48</v>
      </c>
      <c r="I178" s="120">
        <v>106</v>
      </c>
      <c r="J178" s="120">
        <v>4</v>
      </c>
      <c r="K178" s="120">
        <v>12</v>
      </c>
      <c r="L178" s="121">
        <f t="shared" si="12"/>
        <v>52</v>
      </c>
      <c r="M178" s="134">
        <f t="shared" si="11"/>
        <v>118</v>
      </c>
      <c r="N178" s="132">
        <v>33</v>
      </c>
      <c r="O178" s="120"/>
      <c r="P178" s="120">
        <v>46</v>
      </c>
      <c r="Q178" s="133">
        <v>79</v>
      </c>
      <c r="R178" s="132">
        <v>18</v>
      </c>
      <c r="S178" s="120">
        <v>18</v>
      </c>
      <c r="T178" s="120">
        <v>79</v>
      </c>
      <c r="U178" s="133">
        <v>79</v>
      </c>
    </row>
    <row r="179" spans="2:21" ht="15" customHeight="1">
      <c r="B179" s="97" t="s">
        <v>22</v>
      </c>
      <c r="C179" s="20">
        <v>1</v>
      </c>
      <c r="D179" s="20" t="s">
        <v>47</v>
      </c>
      <c r="E179" s="21">
        <v>160</v>
      </c>
      <c r="F179" s="127">
        <v>42</v>
      </c>
      <c r="G179" s="133">
        <v>71</v>
      </c>
      <c r="H179" s="132">
        <v>12</v>
      </c>
      <c r="I179" s="120">
        <v>24</v>
      </c>
      <c r="J179" s="120"/>
      <c r="K179" s="120">
        <v>2</v>
      </c>
      <c r="L179" s="121">
        <f t="shared" si="12"/>
        <v>12</v>
      </c>
      <c r="M179" s="134">
        <f t="shared" si="11"/>
        <v>26</v>
      </c>
      <c r="N179" s="132">
        <v>7</v>
      </c>
      <c r="O179" s="120"/>
      <c r="P179" s="120">
        <v>26</v>
      </c>
      <c r="Q179" s="133">
        <v>33</v>
      </c>
      <c r="R179" s="132">
        <v>4</v>
      </c>
      <c r="S179" s="120">
        <v>4</v>
      </c>
      <c r="T179" s="120">
        <v>17</v>
      </c>
      <c r="U179" s="133">
        <v>17</v>
      </c>
    </row>
    <row r="180" spans="2:21" ht="15" customHeight="1">
      <c r="B180" s="97" t="s">
        <v>23</v>
      </c>
      <c r="C180" s="20"/>
      <c r="D180" s="20"/>
      <c r="E180" s="22">
        <v>161</v>
      </c>
      <c r="F180" s="127">
        <v>12</v>
      </c>
      <c r="G180" s="133">
        <v>22</v>
      </c>
      <c r="H180" s="132"/>
      <c r="I180" s="120"/>
      <c r="J180" s="120"/>
      <c r="K180" s="120"/>
      <c r="L180" s="121">
        <f t="shared" si="12"/>
        <v>0</v>
      </c>
      <c r="M180" s="134">
        <f t="shared" si="11"/>
        <v>0</v>
      </c>
      <c r="N180" s="132">
        <v>2</v>
      </c>
      <c r="O180" s="120"/>
      <c r="P180" s="120">
        <v>7</v>
      </c>
      <c r="Q180" s="133">
        <v>9</v>
      </c>
      <c r="R180" s="132"/>
      <c r="S180" s="120"/>
      <c r="T180" s="120">
        <v>8</v>
      </c>
      <c r="U180" s="133">
        <v>8</v>
      </c>
    </row>
    <row r="181" spans="2:21" ht="15" customHeight="1">
      <c r="B181" s="97" t="s">
        <v>24</v>
      </c>
      <c r="C181" s="20">
        <v>1</v>
      </c>
      <c r="D181" s="20" t="s">
        <v>52</v>
      </c>
      <c r="E181" s="22">
        <v>162</v>
      </c>
      <c r="F181" s="127">
        <v>303</v>
      </c>
      <c r="G181" s="133">
        <v>594</v>
      </c>
      <c r="H181" s="132">
        <v>52</v>
      </c>
      <c r="I181" s="120">
        <v>118</v>
      </c>
      <c r="J181" s="120">
        <v>8</v>
      </c>
      <c r="K181" s="120">
        <v>34</v>
      </c>
      <c r="L181" s="121">
        <f t="shared" si="12"/>
        <v>60</v>
      </c>
      <c r="M181" s="134">
        <f t="shared" si="11"/>
        <v>152</v>
      </c>
      <c r="N181" s="132">
        <v>5</v>
      </c>
      <c r="O181" s="120"/>
      <c r="P181" s="120">
        <v>73</v>
      </c>
      <c r="Q181" s="133">
        <v>79</v>
      </c>
      <c r="R181" s="132">
        <v>15</v>
      </c>
      <c r="S181" s="120">
        <v>15</v>
      </c>
      <c r="T181" s="120">
        <v>82</v>
      </c>
      <c r="U181" s="133">
        <v>82</v>
      </c>
    </row>
    <row r="182" spans="2:21" ht="15" customHeight="1">
      <c r="B182" s="97" t="s">
        <v>25</v>
      </c>
      <c r="C182" s="20"/>
      <c r="D182" s="20"/>
      <c r="E182" s="21">
        <v>163</v>
      </c>
      <c r="F182" s="127">
        <v>1556</v>
      </c>
      <c r="G182" s="133">
        <v>3133</v>
      </c>
      <c r="H182" s="132">
        <v>273</v>
      </c>
      <c r="I182" s="120">
        <v>574</v>
      </c>
      <c r="J182" s="120">
        <v>28</v>
      </c>
      <c r="K182" s="120">
        <v>93</v>
      </c>
      <c r="L182" s="121">
        <f t="shared" si="12"/>
        <v>301</v>
      </c>
      <c r="M182" s="134">
        <f t="shared" si="11"/>
        <v>667</v>
      </c>
      <c r="N182" s="132">
        <v>32</v>
      </c>
      <c r="O182" s="120"/>
      <c r="P182" s="120">
        <v>97</v>
      </c>
      <c r="Q182" s="133">
        <v>130</v>
      </c>
      <c r="R182" s="132">
        <v>51</v>
      </c>
      <c r="S182" s="120">
        <v>51</v>
      </c>
      <c r="T182" s="120">
        <v>457</v>
      </c>
      <c r="U182" s="133">
        <v>458</v>
      </c>
    </row>
    <row r="183" spans="2:21" ht="15" customHeight="1">
      <c r="B183" s="97" t="s">
        <v>26</v>
      </c>
      <c r="C183" s="20"/>
      <c r="D183" s="20"/>
      <c r="E183" s="22">
        <v>164</v>
      </c>
      <c r="F183" s="127">
        <v>473</v>
      </c>
      <c r="G183" s="133">
        <v>799</v>
      </c>
      <c r="H183" s="132">
        <v>122</v>
      </c>
      <c r="I183" s="120">
        <v>215</v>
      </c>
      <c r="J183" s="120">
        <v>3</v>
      </c>
      <c r="K183" s="120">
        <v>12</v>
      </c>
      <c r="L183" s="121">
        <f t="shared" si="12"/>
        <v>125</v>
      </c>
      <c r="M183" s="134">
        <f t="shared" si="11"/>
        <v>227</v>
      </c>
      <c r="N183" s="132">
        <v>46</v>
      </c>
      <c r="O183" s="120"/>
      <c r="P183" s="120">
        <v>86</v>
      </c>
      <c r="Q183" s="133">
        <v>133</v>
      </c>
      <c r="R183" s="132">
        <v>21</v>
      </c>
      <c r="S183" s="120">
        <v>21</v>
      </c>
      <c r="T183" s="120">
        <v>152</v>
      </c>
      <c r="U183" s="133">
        <v>153</v>
      </c>
    </row>
    <row r="184" spans="2:21" ht="15" customHeight="1">
      <c r="B184" s="97" t="s">
        <v>27</v>
      </c>
      <c r="C184" s="20"/>
      <c r="D184" s="20"/>
      <c r="E184" s="22">
        <v>165</v>
      </c>
      <c r="F184" s="127">
        <v>159</v>
      </c>
      <c r="G184" s="133">
        <v>278</v>
      </c>
      <c r="H184" s="132">
        <v>29</v>
      </c>
      <c r="I184" s="120">
        <v>63</v>
      </c>
      <c r="J184" s="120">
        <v>1</v>
      </c>
      <c r="K184" s="120">
        <v>4</v>
      </c>
      <c r="L184" s="121">
        <f t="shared" si="12"/>
        <v>30</v>
      </c>
      <c r="M184" s="134">
        <f t="shared" si="11"/>
        <v>67</v>
      </c>
      <c r="N184" s="132">
        <v>8</v>
      </c>
      <c r="O184" s="120"/>
      <c r="P184" s="120">
        <v>17</v>
      </c>
      <c r="Q184" s="133">
        <v>25</v>
      </c>
      <c r="R184" s="132">
        <v>7</v>
      </c>
      <c r="S184" s="120">
        <v>7</v>
      </c>
      <c r="T184" s="120">
        <v>42</v>
      </c>
      <c r="U184" s="133">
        <v>42</v>
      </c>
    </row>
    <row r="185" spans="2:21" ht="15" customHeight="1">
      <c r="B185" s="97" t="s">
        <v>28</v>
      </c>
      <c r="C185" s="20"/>
      <c r="D185" s="20"/>
      <c r="E185" s="21">
        <v>166</v>
      </c>
      <c r="F185" s="127">
        <v>119</v>
      </c>
      <c r="G185" s="133">
        <v>206</v>
      </c>
      <c r="H185" s="132">
        <v>32</v>
      </c>
      <c r="I185" s="120">
        <v>54</v>
      </c>
      <c r="J185" s="120"/>
      <c r="K185" s="120">
        <v>3</v>
      </c>
      <c r="L185" s="121">
        <f t="shared" si="12"/>
        <v>32</v>
      </c>
      <c r="M185" s="134">
        <f t="shared" si="11"/>
        <v>57</v>
      </c>
      <c r="N185" s="132">
        <v>4</v>
      </c>
      <c r="O185" s="120"/>
      <c r="P185" s="120">
        <v>45</v>
      </c>
      <c r="Q185" s="133">
        <v>49</v>
      </c>
      <c r="R185" s="132">
        <v>6</v>
      </c>
      <c r="S185" s="120">
        <v>6</v>
      </c>
      <c r="T185" s="120">
        <v>41</v>
      </c>
      <c r="U185" s="133">
        <v>41</v>
      </c>
    </row>
    <row r="186" spans="2:21" ht="15" customHeight="1">
      <c r="B186" s="97" t="s">
        <v>29</v>
      </c>
      <c r="C186" s="20"/>
      <c r="D186" s="20"/>
      <c r="E186" s="22">
        <v>167</v>
      </c>
      <c r="F186" s="127">
        <v>32</v>
      </c>
      <c r="G186" s="133">
        <v>41</v>
      </c>
      <c r="H186" s="132">
        <v>5</v>
      </c>
      <c r="I186" s="120">
        <v>7</v>
      </c>
      <c r="J186" s="120"/>
      <c r="K186" s="120"/>
      <c r="L186" s="121">
        <f t="shared" si="12"/>
        <v>5</v>
      </c>
      <c r="M186" s="134">
        <f t="shared" si="11"/>
        <v>7</v>
      </c>
      <c r="N186" s="132">
        <v>5</v>
      </c>
      <c r="O186" s="120"/>
      <c r="P186" s="120">
        <v>7</v>
      </c>
      <c r="Q186" s="133">
        <v>12</v>
      </c>
      <c r="R186" s="132">
        <v>1</v>
      </c>
      <c r="S186" s="120">
        <v>1</v>
      </c>
      <c r="T186" s="120">
        <v>9</v>
      </c>
      <c r="U186" s="133">
        <v>9</v>
      </c>
    </row>
    <row r="187" spans="2:21" ht="15" customHeight="1">
      <c r="B187" s="97" t="s">
        <v>30</v>
      </c>
      <c r="C187" s="20">
        <v>1</v>
      </c>
      <c r="D187" s="20" t="s">
        <v>52</v>
      </c>
      <c r="E187" s="22">
        <v>168</v>
      </c>
      <c r="F187" s="127">
        <v>32</v>
      </c>
      <c r="G187" s="133">
        <v>51</v>
      </c>
      <c r="H187" s="132">
        <v>3</v>
      </c>
      <c r="I187" s="120">
        <v>7</v>
      </c>
      <c r="J187" s="120"/>
      <c r="K187" s="120"/>
      <c r="L187" s="121">
        <f t="shared" si="12"/>
        <v>3</v>
      </c>
      <c r="M187" s="134">
        <f t="shared" si="11"/>
        <v>7</v>
      </c>
      <c r="N187" s="132">
        <v>5</v>
      </c>
      <c r="O187" s="120"/>
      <c r="P187" s="120">
        <v>21</v>
      </c>
      <c r="Q187" s="133">
        <v>27</v>
      </c>
      <c r="R187" s="132">
        <v>3</v>
      </c>
      <c r="S187" s="120">
        <v>3</v>
      </c>
      <c r="T187" s="120">
        <v>17</v>
      </c>
      <c r="U187" s="133">
        <v>17</v>
      </c>
    </row>
    <row r="188" spans="2:21" ht="15" customHeight="1">
      <c r="B188" s="97" t="s">
        <v>31</v>
      </c>
      <c r="C188" s="20">
        <v>1</v>
      </c>
      <c r="D188" s="20" t="s">
        <v>47</v>
      </c>
      <c r="E188" s="21">
        <v>169</v>
      </c>
      <c r="F188" s="127">
        <v>34</v>
      </c>
      <c r="G188" s="133">
        <v>60</v>
      </c>
      <c r="H188" s="132">
        <v>7</v>
      </c>
      <c r="I188" s="120">
        <v>11</v>
      </c>
      <c r="J188" s="120"/>
      <c r="K188" s="120"/>
      <c r="L188" s="121">
        <f t="shared" si="12"/>
        <v>7</v>
      </c>
      <c r="M188" s="134">
        <f t="shared" si="11"/>
        <v>11</v>
      </c>
      <c r="N188" s="132"/>
      <c r="O188" s="120"/>
      <c r="P188" s="120"/>
      <c r="Q188" s="133"/>
      <c r="R188" s="132">
        <v>1</v>
      </c>
      <c r="S188" s="120">
        <v>1</v>
      </c>
      <c r="T188" s="120">
        <v>11</v>
      </c>
      <c r="U188" s="133">
        <v>11</v>
      </c>
    </row>
    <row r="189" spans="2:21" ht="15" customHeight="1">
      <c r="B189" s="98" t="s">
        <v>32</v>
      </c>
      <c r="C189" s="22"/>
      <c r="D189" s="22"/>
      <c r="E189" s="22"/>
      <c r="F189" s="127"/>
      <c r="G189" s="133">
        <v>2</v>
      </c>
      <c r="H189" s="132"/>
      <c r="I189" s="120"/>
      <c r="J189" s="120"/>
      <c r="K189" s="120"/>
      <c r="L189" s="121">
        <f t="shared" si="12"/>
        <v>0</v>
      </c>
      <c r="M189" s="134">
        <f t="shared" si="11"/>
        <v>0</v>
      </c>
      <c r="N189" s="132"/>
      <c r="O189" s="120"/>
      <c r="P189" s="120"/>
      <c r="Q189" s="133"/>
      <c r="R189" s="132"/>
      <c r="S189" s="120"/>
      <c r="T189" s="120"/>
      <c r="U189" s="133"/>
    </row>
    <row r="190" spans="2:21" ht="15" customHeight="1" thickBot="1">
      <c r="B190" s="99" t="s">
        <v>33</v>
      </c>
      <c r="C190" s="36"/>
      <c r="D190" s="36"/>
      <c r="E190" s="36"/>
      <c r="F190" s="128">
        <v>99160</v>
      </c>
      <c r="G190" s="135">
        <v>188591</v>
      </c>
      <c r="H190" s="136">
        <v>20708</v>
      </c>
      <c r="I190" s="137">
        <v>43374</v>
      </c>
      <c r="J190" s="137">
        <v>1365</v>
      </c>
      <c r="K190" s="137">
        <v>4800</v>
      </c>
      <c r="L190" s="137">
        <v>22073</v>
      </c>
      <c r="M190" s="135">
        <v>48174</v>
      </c>
      <c r="N190" s="136">
        <v>5028</v>
      </c>
      <c r="O190" s="137">
        <v>93</v>
      </c>
      <c r="P190" s="137">
        <v>11370</v>
      </c>
      <c r="Q190" s="135">
        <v>16492</v>
      </c>
      <c r="R190" s="136">
        <v>4069</v>
      </c>
      <c r="S190" s="137">
        <v>4076</v>
      </c>
      <c r="T190" s="137">
        <v>29825</v>
      </c>
      <c r="U190" s="135">
        <v>29840</v>
      </c>
    </row>
    <row r="191" ht="15" customHeight="1">
      <c r="B191" s="1" t="s">
        <v>236</v>
      </c>
    </row>
  </sheetData>
  <mergeCells count="10">
    <mergeCell ref="B7:N7"/>
    <mergeCell ref="B18:E18"/>
    <mergeCell ref="B14:E14"/>
    <mergeCell ref="B15:E15"/>
    <mergeCell ref="B16:E16"/>
    <mergeCell ref="B17:E17"/>
    <mergeCell ref="B8:E9"/>
    <mergeCell ref="B11:E11"/>
    <mergeCell ref="B12:E12"/>
    <mergeCell ref="B13:E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James Farnam</cp:lastModifiedBy>
  <cp:lastPrinted>2006-10-17T01:57:01Z</cp:lastPrinted>
  <dcterms:created xsi:type="dcterms:W3CDTF">2006-07-18T15:25:47Z</dcterms:created>
  <dcterms:modified xsi:type="dcterms:W3CDTF">2006-10-17T01:57:45Z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